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activeX/activeX7.xml" ContentType="application/vnd.ms-office.activeX+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activeX/activeX5.xml" ContentType="application/vnd.ms-office.activeX+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activeX/activeX3.xml" ContentType="application/vnd.ms-office.activeX+xml"/>
  <Override PartName="/xl/worksheets/sheet3.xml" ContentType="application/vnd.openxmlformats-officedocument.spreadsheetml.worksheet+xml"/>
  <Override PartName="/xl/externalLinks/externalLink3.xml" ContentType="application/vnd.openxmlformats-officedocument.spreadsheetml.externalLink+xml"/>
  <Override PartName="/xl/activeX/activeX1.xml" ContentType="application/vnd.ms-office.activeX+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activeX/activeX6.xml" ContentType="application/vnd.ms-office.activeX+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activeX/activeX2.xml" ContentType="application/vnd.ms-office.activeX+xml"/>
  <Override PartName="/xl/activeX/activeX4.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15" windowWidth="7665" windowHeight="7350" tabRatio="866" firstSheet="27" activeTab="29"/>
  </bookViews>
  <sheets>
    <sheet name="START" sheetId="40" r:id="rId1"/>
    <sheet name="Instructions" sheetId="45" r:id="rId2"/>
    <sheet name="Template names" sheetId="39" r:id="rId3"/>
    <sheet name="Lookup and lists" sheetId="38"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'SB1'!$A$1:$M$117</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'SB3'!$A$1:$M$212</definedName>
    <definedName name="_xlnm.Print_Area" localSheetId="22">'SB4'!$A$1:$J$38</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24519"/>
</workbook>
</file>

<file path=xl/calcChain.xml><?xml version="1.0" encoding="utf-8"?>
<calcChain xmlns="http://schemas.openxmlformats.org/spreadsheetml/2006/main">
  <c r="R51" i="31"/>
  <c r="R46"/>
  <c r="R21"/>
  <c r="Q51"/>
  <c r="Q46"/>
  <c r="Q21"/>
  <c r="Q22" s="1"/>
  <c r="Q34" s="1"/>
  <c r="P46"/>
  <c r="N46" s="1"/>
  <c r="O46" s="1"/>
  <c r="P21"/>
  <c r="N21"/>
  <c r="O21" s="1"/>
  <c r="P47"/>
  <c r="N47" s="1"/>
  <c r="O47" s="1"/>
  <c r="Q47"/>
  <c r="R47"/>
  <c r="M16" i="13"/>
  <c r="L16"/>
  <c r="L17" s="1"/>
  <c r="M26"/>
  <c r="M27" s="1"/>
  <c r="L26"/>
  <c r="L27" s="1"/>
  <c r="K45" i="7" s="1"/>
  <c r="M102" i="17"/>
  <c r="L102"/>
  <c r="L103" s="1"/>
  <c r="L36" i="10" s="1"/>
  <c r="Q35" i="30" s="1"/>
  <c r="M188" i="47"/>
  <c r="L188"/>
  <c r="M110" i="46"/>
  <c r="M109" s="1"/>
  <c r="M41" i="9" s="1"/>
  <c r="L110" i="46"/>
  <c r="M20" i="36"/>
  <c r="L20"/>
  <c r="L30" s="1"/>
  <c r="I16" i="13"/>
  <c r="M8"/>
  <c r="L8"/>
  <c r="J40" i="22" s="1"/>
  <c r="I8" i="13"/>
  <c r="M58" i="34"/>
  <c r="L58"/>
  <c r="M75" i="11"/>
  <c r="L33" i="7" s="1"/>
  <c r="L75" i="11"/>
  <c r="M56"/>
  <c r="M55" s="1"/>
  <c r="Q16" i="33" s="1"/>
  <c r="L56" i="11"/>
  <c r="L186" i="47"/>
  <c r="I188"/>
  <c r="J188" s="1"/>
  <c r="K188" s="1"/>
  <c r="M20"/>
  <c r="L20"/>
  <c r="M41" i="46"/>
  <c r="M40" s="1"/>
  <c r="L41"/>
  <c r="L40" s="1"/>
  <c r="L109"/>
  <c r="I110"/>
  <c r="J110" s="1"/>
  <c r="I102" i="17"/>
  <c r="J102" s="1"/>
  <c r="K102" s="1"/>
  <c r="J84"/>
  <c r="K84"/>
  <c r="J85"/>
  <c r="K85" s="1"/>
  <c r="M79"/>
  <c r="M88" s="1"/>
  <c r="M94" s="1"/>
  <c r="M34" i="10" s="1"/>
  <c r="R33" i="30" s="1"/>
  <c r="L79" i="17"/>
  <c r="M77"/>
  <c r="L77"/>
  <c r="M75"/>
  <c r="L75"/>
  <c r="K75"/>
  <c r="K76"/>
  <c r="K77"/>
  <c r="K78"/>
  <c r="K80"/>
  <c r="K81"/>
  <c r="K82"/>
  <c r="K83"/>
  <c r="K86"/>
  <c r="J75"/>
  <c r="J76"/>
  <c r="J77"/>
  <c r="J78"/>
  <c r="J79"/>
  <c r="K79" s="1"/>
  <c r="J80"/>
  <c r="J81"/>
  <c r="J82"/>
  <c r="J83"/>
  <c r="J86"/>
  <c r="M28" i="10"/>
  <c r="R27" i="30" s="1"/>
  <c r="L28" i="10"/>
  <c r="Q27" i="30" s="1"/>
  <c r="M40" i="17"/>
  <c r="M52" s="1"/>
  <c r="M54" s="1"/>
  <c r="M27" i="10" s="1"/>
  <c r="R26" i="30" s="1"/>
  <c r="L40" i="17"/>
  <c r="L52" s="1"/>
  <c r="L54" s="1"/>
  <c r="L27" i="10" s="1"/>
  <c r="M35" i="17"/>
  <c r="M36" s="1"/>
  <c r="M22" i="10" s="1"/>
  <c r="R21" i="30" s="1"/>
  <c r="L35" i="17"/>
  <c r="I35"/>
  <c r="J47" i="35"/>
  <c r="J46"/>
  <c r="J27"/>
  <c r="J21"/>
  <c r="M18" i="33"/>
  <c r="M16" s="1"/>
  <c r="L18"/>
  <c r="K18"/>
  <c r="K16" s="1"/>
  <c r="K26" s="1"/>
  <c r="J18"/>
  <c r="J16" s="1"/>
  <c r="I18"/>
  <c r="L49" i="18"/>
  <c r="I43" i="34"/>
  <c r="I29" s="1"/>
  <c r="I14" i="15" s="1"/>
  <c r="I56" i="11"/>
  <c r="H16" i="25"/>
  <c r="I16" s="1"/>
  <c r="G32"/>
  <c r="H32" s="1"/>
  <c r="I32" s="1"/>
  <c r="G8"/>
  <c r="H8" s="1"/>
  <c r="I8" s="1"/>
  <c r="I10" i="34"/>
  <c r="J10" s="1"/>
  <c r="K10" s="1"/>
  <c r="I13" i="26"/>
  <c r="I16" s="1"/>
  <c r="I30" s="1"/>
  <c r="I57" s="1"/>
  <c r="I21" i="18"/>
  <c r="I24" s="1"/>
  <c r="I21" i="12" s="1"/>
  <c r="I26" s="1"/>
  <c r="H38" i="7" s="1"/>
  <c r="I20" i="48"/>
  <c r="I92"/>
  <c r="I57" i="11"/>
  <c r="I35" i="10"/>
  <c r="H18" i="7" s="1"/>
  <c r="I198" i="47"/>
  <c r="J198" s="1"/>
  <c r="K198" s="1"/>
  <c r="I244"/>
  <c r="J244" s="1"/>
  <c r="K244" s="1"/>
  <c r="I80" i="46"/>
  <c r="J80" s="1"/>
  <c r="K80" s="1"/>
  <c r="I125"/>
  <c r="J16" i="13"/>
  <c r="K16" s="1"/>
  <c r="I26"/>
  <c r="I27" s="1"/>
  <c r="H45" i="7" s="1"/>
  <c r="H21" i="18"/>
  <c r="H24" s="1"/>
  <c r="H21" i="12" s="1"/>
  <c r="H26" s="1"/>
  <c r="N51" i="31"/>
  <c r="O51" s="1"/>
  <c r="H26" i="13"/>
  <c r="I14"/>
  <c r="J14"/>
  <c r="K14" s="1"/>
  <c r="J41" i="10"/>
  <c r="K41" s="1"/>
  <c r="P40" i="30" s="1"/>
  <c r="N40" s="1"/>
  <c r="P44" i="31"/>
  <c r="K25"/>
  <c r="P25"/>
  <c r="I65" i="34"/>
  <c r="J65" s="1"/>
  <c r="K65" s="1"/>
  <c r="I10" i="37"/>
  <c r="J10" s="1"/>
  <c r="K10" s="1"/>
  <c r="I58" i="34"/>
  <c r="J58" s="1"/>
  <c r="K58" s="1"/>
  <c r="I77" i="48"/>
  <c r="J77" s="1"/>
  <c r="K77" s="1"/>
  <c r="I76"/>
  <c r="I88"/>
  <c r="I85" s="1"/>
  <c r="I15" i="11" s="1"/>
  <c r="I60"/>
  <c r="J60" s="1"/>
  <c r="K60" s="1"/>
  <c r="O21" i="33" s="1"/>
  <c r="N21" s="1"/>
  <c r="J92" i="48"/>
  <c r="K92" s="1"/>
  <c r="H68" i="11"/>
  <c r="J68" s="1"/>
  <c r="J72" s="1"/>
  <c r="H56"/>
  <c r="H55" s="1"/>
  <c r="D18" i="7"/>
  <c r="I75" i="11"/>
  <c r="H33" i="7" s="1"/>
  <c r="I48" i="11"/>
  <c r="K19" i="37"/>
  <c r="N12" i="31"/>
  <c r="H33" i="25"/>
  <c r="I33" s="1"/>
  <c r="F38" i="24"/>
  <c r="F32" s="1"/>
  <c r="F38" i="23"/>
  <c r="I103" i="17"/>
  <c r="I36" i="10" s="1"/>
  <c r="H41"/>
  <c r="J35" i="17"/>
  <c r="I30" i="47"/>
  <c r="J30" s="1"/>
  <c r="K30" s="1"/>
  <c r="I255"/>
  <c r="J255" s="1"/>
  <c r="K255" s="1"/>
  <c r="I217"/>
  <c r="J217" s="1"/>
  <c r="K217" s="1"/>
  <c r="I211"/>
  <c r="I190"/>
  <c r="J190" s="1"/>
  <c r="K190" s="1"/>
  <c r="I11" i="46"/>
  <c r="I117"/>
  <c r="J117" s="1"/>
  <c r="K117" s="1"/>
  <c r="I114"/>
  <c r="I85"/>
  <c r="I84"/>
  <c r="J84" s="1"/>
  <c r="K84" s="1"/>
  <c r="I83"/>
  <c r="J83" s="1"/>
  <c r="K83" s="1"/>
  <c r="I82"/>
  <c r="I78"/>
  <c r="J78" s="1"/>
  <c r="K78" s="1"/>
  <c r="J79"/>
  <c r="K79" s="1"/>
  <c r="M16" i="18"/>
  <c r="M19" s="1"/>
  <c r="M13" s="1"/>
  <c r="M14" s="1"/>
  <c r="M10" i="12" s="1"/>
  <c r="M43" i="14" s="1"/>
  <c r="L16" i="18"/>
  <c r="I49" i="29"/>
  <c r="M49"/>
  <c r="A19" i="48"/>
  <c r="A63"/>
  <c r="F10" i="22"/>
  <c r="E10"/>
  <c r="D10"/>
  <c r="M56" i="26"/>
  <c r="L56"/>
  <c r="I56"/>
  <c r="H56"/>
  <c r="G56"/>
  <c r="F56"/>
  <c r="E56"/>
  <c r="D56"/>
  <c r="C56"/>
  <c r="J33"/>
  <c r="J34"/>
  <c r="K34"/>
  <c r="J35"/>
  <c r="C36"/>
  <c r="D36"/>
  <c r="E36"/>
  <c r="F36"/>
  <c r="G36"/>
  <c r="H36"/>
  <c r="I36"/>
  <c r="L36"/>
  <c r="M36"/>
  <c r="J39"/>
  <c r="K39" s="1"/>
  <c r="J40"/>
  <c r="K40"/>
  <c r="J41"/>
  <c r="K41" s="1"/>
  <c r="K42" s="1"/>
  <c r="C42"/>
  <c r="D42"/>
  <c r="E42"/>
  <c r="F42"/>
  <c r="G42"/>
  <c r="H42"/>
  <c r="I42"/>
  <c r="L42"/>
  <c r="M42"/>
  <c r="J45"/>
  <c r="K45"/>
  <c r="J46"/>
  <c r="K46"/>
  <c r="J47"/>
  <c r="K47" s="1"/>
  <c r="C48"/>
  <c r="D48"/>
  <c r="E48"/>
  <c r="F48"/>
  <c r="G48"/>
  <c r="H48"/>
  <c r="I48"/>
  <c r="L48"/>
  <c r="M48"/>
  <c r="J51"/>
  <c r="K51" s="1"/>
  <c r="J52"/>
  <c r="K52"/>
  <c r="J53"/>
  <c r="K53" s="1"/>
  <c r="C54"/>
  <c r="D54"/>
  <c r="E54"/>
  <c r="F54"/>
  <c r="G54"/>
  <c r="H54"/>
  <c r="I54"/>
  <c r="L54"/>
  <c r="M54"/>
  <c r="A58"/>
  <c r="D39" i="14"/>
  <c r="L39"/>
  <c r="M39"/>
  <c r="C39"/>
  <c r="K16" i="22"/>
  <c r="L9" i="7"/>
  <c r="K9"/>
  <c r="H9"/>
  <c r="G9"/>
  <c r="F9"/>
  <c r="E9"/>
  <c r="D9"/>
  <c r="C9"/>
  <c r="B9"/>
  <c r="M66" i="17"/>
  <c r="L66"/>
  <c r="I66"/>
  <c r="H66"/>
  <c r="H30" i="10" s="1"/>
  <c r="G15" i="7" s="1"/>
  <c r="G66" i="17"/>
  <c r="F66"/>
  <c r="F30" i="10"/>
  <c r="E15" i="7" s="1"/>
  <c r="E66" i="17"/>
  <c r="E30" i="10" s="1"/>
  <c r="D15" i="7" s="1"/>
  <c r="D66" i="17"/>
  <c r="C66"/>
  <c r="C308" i="38"/>
  <c r="G44" i="20"/>
  <c r="F97" i="39"/>
  <c r="J65" i="17"/>
  <c r="K65"/>
  <c r="J47"/>
  <c r="K47" s="1"/>
  <c r="J46"/>
  <c r="K46" s="1"/>
  <c r="J45"/>
  <c r="K45" s="1"/>
  <c r="J21" i="27"/>
  <c r="J91"/>
  <c r="K91"/>
  <c r="J90"/>
  <c r="K90" s="1"/>
  <c r="J74"/>
  <c r="K74"/>
  <c r="J73"/>
  <c r="K73" s="1"/>
  <c r="J72"/>
  <c r="K72"/>
  <c r="J71"/>
  <c r="K71" s="1"/>
  <c r="J58"/>
  <c r="K58"/>
  <c r="J57"/>
  <c r="K57" s="1"/>
  <c r="J56"/>
  <c r="K56"/>
  <c r="J55"/>
  <c r="K55" s="1"/>
  <c r="J42"/>
  <c r="K42"/>
  <c r="J41"/>
  <c r="K41" s="1"/>
  <c r="J27"/>
  <c r="K27"/>
  <c r="J26"/>
  <c r="K26" s="1"/>
  <c r="J25"/>
  <c r="K25"/>
  <c r="E97" i="39"/>
  <c r="D97"/>
  <c r="D96"/>
  <c r="A86" i="52"/>
  <c r="J85"/>
  <c r="K85" s="1"/>
  <c r="J84"/>
  <c r="K84"/>
  <c r="J83"/>
  <c r="K83" s="1"/>
  <c r="J82"/>
  <c r="K82"/>
  <c r="M81"/>
  <c r="M55" s="1"/>
  <c r="M53" s="1"/>
  <c r="L81"/>
  <c r="L55" s="1"/>
  <c r="L53" s="1"/>
  <c r="I81"/>
  <c r="I55"/>
  <c r="I53" s="1"/>
  <c r="H81"/>
  <c r="H55"/>
  <c r="H53"/>
  <c r="G81"/>
  <c r="G55" s="1"/>
  <c r="G53" s="1"/>
  <c r="F81"/>
  <c r="F55"/>
  <c r="E81"/>
  <c r="D81"/>
  <c r="D55" s="1"/>
  <c r="C81"/>
  <c r="C55" s="1"/>
  <c r="J77"/>
  <c r="K77"/>
  <c r="J76"/>
  <c r="K76" s="1"/>
  <c r="K75" s="1"/>
  <c r="M75"/>
  <c r="L75"/>
  <c r="J75"/>
  <c r="I75"/>
  <c r="H75"/>
  <c r="G75"/>
  <c r="F75"/>
  <c r="E75"/>
  <c r="D75"/>
  <c r="C75"/>
  <c r="J73"/>
  <c r="J72"/>
  <c r="K72"/>
  <c r="M71"/>
  <c r="L71"/>
  <c r="I71"/>
  <c r="H71"/>
  <c r="G71"/>
  <c r="F71"/>
  <c r="E71"/>
  <c r="D71"/>
  <c r="C71"/>
  <c r="J69"/>
  <c r="K69"/>
  <c r="J68"/>
  <c r="M67"/>
  <c r="L67"/>
  <c r="I67"/>
  <c r="H67"/>
  <c r="G67"/>
  <c r="F67"/>
  <c r="E67"/>
  <c r="D67"/>
  <c r="C67"/>
  <c r="J65"/>
  <c r="K65" s="1"/>
  <c r="J64"/>
  <c r="K64" s="1"/>
  <c r="J63"/>
  <c r="K63" s="1"/>
  <c r="J62"/>
  <c r="K62" s="1"/>
  <c r="J61"/>
  <c r="K61" s="1"/>
  <c r="J60"/>
  <c r="K60"/>
  <c r="J59"/>
  <c r="K59" s="1"/>
  <c r="J58"/>
  <c r="K58" s="1"/>
  <c r="J57"/>
  <c r="K57" s="1"/>
  <c r="J56"/>
  <c r="K56" s="1"/>
  <c r="J54"/>
  <c r="K54"/>
  <c r="J51"/>
  <c r="K51" s="1"/>
  <c r="J50"/>
  <c r="K50"/>
  <c r="K49" s="1"/>
  <c r="M49"/>
  <c r="L49"/>
  <c r="I49"/>
  <c r="H49"/>
  <c r="G49"/>
  <c r="F49"/>
  <c r="E49"/>
  <c r="D49"/>
  <c r="C49"/>
  <c r="J47"/>
  <c r="K47"/>
  <c r="J46"/>
  <c r="K46" s="1"/>
  <c r="K45" s="1"/>
  <c r="M45"/>
  <c r="L45"/>
  <c r="I45"/>
  <c r="H45"/>
  <c r="G45"/>
  <c r="F45"/>
  <c r="E45"/>
  <c r="D45"/>
  <c r="C45"/>
  <c r="J43"/>
  <c r="K43" s="1"/>
  <c r="J42"/>
  <c r="K42" s="1"/>
  <c r="J41"/>
  <c r="K41"/>
  <c r="J40"/>
  <c r="K40" s="1"/>
  <c r="J39"/>
  <c r="K39" s="1"/>
  <c r="J38"/>
  <c r="K38" s="1"/>
  <c r="J37"/>
  <c r="K37" s="1"/>
  <c r="J36"/>
  <c r="K36" s="1"/>
  <c r="J35"/>
  <c r="K35" s="1"/>
  <c r="J34"/>
  <c r="K34" s="1"/>
  <c r="J33"/>
  <c r="K33"/>
  <c r="J32"/>
  <c r="K32" s="1"/>
  <c r="J31"/>
  <c r="K31" s="1"/>
  <c r="J30"/>
  <c r="K30" s="1"/>
  <c r="M29"/>
  <c r="L29"/>
  <c r="I29"/>
  <c r="H29"/>
  <c r="G29"/>
  <c r="F29"/>
  <c r="E29"/>
  <c r="D29"/>
  <c r="C29"/>
  <c r="J28"/>
  <c r="K28"/>
  <c r="J27"/>
  <c r="K27" s="1"/>
  <c r="J26"/>
  <c r="K26" s="1"/>
  <c r="J25"/>
  <c r="K25" s="1"/>
  <c r="J24"/>
  <c r="K24" s="1"/>
  <c r="M23"/>
  <c r="L23"/>
  <c r="I23"/>
  <c r="H23"/>
  <c r="G23"/>
  <c r="F23"/>
  <c r="E23"/>
  <c r="J23" s="1"/>
  <c r="K23" s="1"/>
  <c r="D23"/>
  <c r="C23"/>
  <c r="J22"/>
  <c r="K22"/>
  <c r="J21"/>
  <c r="K21" s="1"/>
  <c r="M20"/>
  <c r="L20"/>
  <c r="I20"/>
  <c r="I8" s="1"/>
  <c r="H20"/>
  <c r="G20"/>
  <c r="F20"/>
  <c r="E20"/>
  <c r="J20" s="1"/>
  <c r="D20"/>
  <c r="C20"/>
  <c r="K20" s="1"/>
  <c r="J19"/>
  <c r="K19" s="1"/>
  <c r="J18"/>
  <c r="K18" s="1"/>
  <c r="J17"/>
  <c r="K17"/>
  <c r="M16"/>
  <c r="L16"/>
  <c r="I16"/>
  <c r="H16"/>
  <c r="G16"/>
  <c r="F16"/>
  <c r="E16"/>
  <c r="D16"/>
  <c r="C16"/>
  <c r="J15"/>
  <c r="K15"/>
  <c r="J14"/>
  <c r="K14" s="1"/>
  <c r="J13"/>
  <c r="K13" s="1"/>
  <c r="M12"/>
  <c r="L12"/>
  <c r="I12"/>
  <c r="H12"/>
  <c r="G12"/>
  <c r="F12"/>
  <c r="E12"/>
  <c r="E8" s="1"/>
  <c r="D12"/>
  <c r="C12"/>
  <c r="J11"/>
  <c r="K11"/>
  <c r="J10"/>
  <c r="K10" s="1"/>
  <c r="M9"/>
  <c r="L9"/>
  <c r="L8"/>
  <c r="I9"/>
  <c r="I79"/>
  <c r="H9"/>
  <c r="G9"/>
  <c r="F9"/>
  <c r="E9"/>
  <c r="D9"/>
  <c r="C9"/>
  <c r="M3"/>
  <c r="L3"/>
  <c r="K3"/>
  <c r="J3"/>
  <c r="I3"/>
  <c r="H3"/>
  <c r="G3"/>
  <c r="F3"/>
  <c r="E3"/>
  <c r="D3"/>
  <c r="C3"/>
  <c r="B2"/>
  <c r="A2"/>
  <c r="A10" i="48"/>
  <c r="A179" s="1"/>
  <c r="A11"/>
  <c r="A180" s="1"/>
  <c r="A12"/>
  <c r="A181" s="1"/>
  <c r="A13"/>
  <c r="A182" s="1"/>
  <c r="A14"/>
  <c r="A183" s="1"/>
  <c r="A15"/>
  <c r="A184" s="1"/>
  <c r="A16"/>
  <c r="A185" s="1"/>
  <c r="A17"/>
  <c r="A186" s="1"/>
  <c r="A18"/>
  <c r="A187" s="1"/>
  <c r="A20"/>
  <c r="A189" s="1"/>
  <c r="A21"/>
  <c r="A190" s="1"/>
  <c r="A22"/>
  <c r="A191" s="1"/>
  <c r="A23"/>
  <c r="A192" s="1"/>
  <c r="A24"/>
  <c r="A193" s="1"/>
  <c r="A25"/>
  <c r="A194" s="1"/>
  <c r="A26"/>
  <c r="A195" s="1"/>
  <c r="A27"/>
  <c r="A196" s="1"/>
  <c r="A28"/>
  <c r="A197" s="1"/>
  <c r="A29"/>
  <c r="A198" s="1"/>
  <c r="A31"/>
  <c r="A200" s="1"/>
  <c r="A32"/>
  <c r="A201" s="1"/>
  <c r="A33"/>
  <c r="A202" s="1"/>
  <c r="A34"/>
  <c r="A203" s="1"/>
  <c r="A35"/>
  <c r="A204" s="1"/>
  <c r="A36"/>
  <c r="A205" s="1"/>
  <c r="A37"/>
  <c r="A206" s="1"/>
  <c r="A38"/>
  <c r="A207" s="1"/>
  <c r="A39"/>
  <c r="A208" s="1"/>
  <c r="A40"/>
  <c r="A209" s="1"/>
  <c r="A42"/>
  <c r="A211" s="1"/>
  <c r="A43"/>
  <c r="A212" s="1"/>
  <c r="A44"/>
  <c r="A213" s="1"/>
  <c r="A45"/>
  <c r="A214" s="1"/>
  <c r="A46"/>
  <c r="A215" s="1"/>
  <c r="A47"/>
  <c r="A216" s="1"/>
  <c r="A48"/>
  <c r="A217" s="1"/>
  <c r="A49"/>
  <c r="A218" s="1"/>
  <c r="A50"/>
  <c r="A219" s="1"/>
  <c r="A51"/>
  <c r="A220" s="1"/>
  <c r="A53"/>
  <c r="A222" s="1"/>
  <c r="A54"/>
  <c r="A223" s="1"/>
  <c r="A55"/>
  <c r="A224" s="1"/>
  <c r="A56"/>
  <c r="A225" s="1"/>
  <c r="A57"/>
  <c r="A226" s="1"/>
  <c r="A58"/>
  <c r="A227" s="1"/>
  <c r="A59"/>
  <c r="A228" s="1"/>
  <c r="A60"/>
  <c r="A229" s="1"/>
  <c r="A61"/>
  <c r="A230" s="1"/>
  <c r="A62"/>
  <c r="A231" s="1"/>
  <c r="A64"/>
  <c r="A233" s="1"/>
  <c r="A65"/>
  <c r="A234" s="1"/>
  <c r="A66"/>
  <c r="A235" s="1"/>
  <c r="A67"/>
  <c r="A236" s="1"/>
  <c r="A68"/>
  <c r="A237" s="1"/>
  <c r="A69"/>
  <c r="A238" s="1"/>
  <c r="A70"/>
  <c r="A239" s="1"/>
  <c r="A71"/>
  <c r="A240" s="1"/>
  <c r="A72"/>
  <c r="A241" s="1"/>
  <c r="A73"/>
  <c r="A242" s="1"/>
  <c r="A75"/>
  <c r="A244" s="1"/>
  <c r="A76"/>
  <c r="A245" s="1"/>
  <c r="A77"/>
  <c r="A246" s="1"/>
  <c r="A78"/>
  <c r="A247" s="1"/>
  <c r="A79"/>
  <c r="A248" s="1"/>
  <c r="A80"/>
  <c r="A249" s="1"/>
  <c r="A81"/>
  <c r="A250" s="1"/>
  <c r="A82"/>
  <c r="A251" s="1"/>
  <c r="A83"/>
  <c r="A252" s="1"/>
  <c r="A84"/>
  <c r="A253" s="1"/>
  <c r="A86"/>
  <c r="A255" s="1"/>
  <c r="A87"/>
  <c r="A256" s="1"/>
  <c r="A88"/>
  <c r="A257" s="1"/>
  <c r="A89"/>
  <c r="A258" s="1"/>
  <c r="A90"/>
  <c r="A259" s="1"/>
  <c r="A91"/>
  <c r="A260" s="1"/>
  <c r="A92"/>
  <c r="A261" s="1"/>
  <c r="A93"/>
  <c r="A262" s="1"/>
  <c r="A94"/>
  <c r="A263" s="1"/>
  <c r="A95"/>
  <c r="A264" s="1"/>
  <c r="A97"/>
  <c r="A266" s="1"/>
  <c r="A98"/>
  <c r="A267" s="1"/>
  <c r="A99"/>
  <c r="A268" s="1"/>
  <c r="A100"/>
  <c r="A269" s="1"/>
  <c r="A101"/>
  <c r="A270" s="1"/>
  <c r="A102"/>
  <c r="A271" s="1"/>
  <c r="A103"/>
  <c r="A272" s="1"/>
  <c r="A104"/>
  <c r="A273" s="1"/>
  <c r="A105"/>
  <c r="A274" s="1"/>
  <c r="A106"/>
  <c r="A275" s="1"/>
  <c r="A108"/>
  <c r="A277" s="1"/>
  <c r="A109"/>
  <c r="A278" s="1"/>
  <c r="A110"/>
  <c r="A279" s="1"/>
  <c r="A111"/>
  <c r="A280" s="1"/>
  <c r="A112"/>
  <c r="A281" s="1"/>
  <c r="A113"/>
  <c r="A282" s="1"/>
  <c r="A114"/>
  <c r="A283" s="1"/>
  <c r="A115"/>
  <c r="A284" s="1"/>
  <c r="A116"/>
  <c r="A285" s="1"/>
  <c r="A117"/>
  <c r="A286" s="1"/>
  <c r="A119"/>
  <c r="A288" s="1"/>
  <c r="A120"/>
  <c r="A289" s="1"/>
  <c r="A121"/>
  <c r="A290" s="1"/>
  <c r="A122"/>
  <c r="A291" s="1"/>
  <c r="A123"/>
  <c r="A292" s="1"/>
  <c r="A124"/>
  <c r="A293" s="1"/>
  <c r="A125"/>
  <c r="A294" s="1"/>
  <c r="A126"/>
  <c r="A295" s="1"/>
  <c r="A127"/>
  <c r="A296" s="1"/>
  <c r="A128"/>
  <c r="A297" s="1"/>
  <c r="A130"/>
  <c r="A299" s="1"/>
  <c r="A131"/>
  <c r="A300" s="1"/>
  <c r="A132"/>
  <c r="A301" s="1"/>
  <c r="A133"/>
  <c r="A302" s="1"/>
  <c r="A134"/>
  <c r="A303" s="1"/>
  <c r="A135"/>
  <c r="A304" s="1"/>
  <c r="A136"/>
  <c r="A305" s="1"/>
  <c r="A137"/>
  <c r="A306" s="1"/>
  <c r="A138"/>
  <c r="A307" s="1"/>
  <c r="A139"/>
  <c r="A308" s="1"/>
  <c r="A141"/>
  <c r="A310" s="1"/>
  <c r="A142"/>
  <c r="A311" s="1"/>
  <c r="A143"/>
  <c r="A312" s="1"/>
  <c r="A144"/>
  <c r="A313" s="1"/>
  <c r="A145"/>
  <c r="A314" s="1"/>
  <c r="A146"/>
  <c r="A315" s="1"/>
  <c r="A147"/>
  <c r="A316" s="1"/>
  <c r="A148"/>
  <c r="A317" s="1"/>
  <c r="A149"/>
  <c r="A318" s="1"/>
  <c r="A150"/>
  <c r="A319" s="1"/>
  <c r="A152"/>
  <c r="A321" s="1"/>
  <c r="A153"/>
  <c r="A322" s="1"/>
  <c r="A154"/>
  <c r="A323" s="1"/>
  <c r="A155"/>
  <c r="A324" s="1"/>
  <c r="A156"/>
  <c r="A325" s="1"/>
  <c r="A157"/>
  <c r="A326" s="1"/>
  <c r="A158"/>
  <c r="A327" s="1"/>
  <c r="A159"/>
  <c r="A328" s="1"/>
  <c r="A160"/>
  <c r="A329" s="1"/>
  <c r="A161"/>
  <c r="A330" s="1"/>
  <c r="A163"/>
  <c r="A332" s="1"/>
  <c r="A164"/>
  <c r="A333" s="1"/>
  <c r="A165"/>
  <c r="A334" s="1"/>
  <c r="A166"/>
  <c r="A335" s="1"/>
  <c r="A167"/>
  <c r="A336" s="1"/>
  <c r="A168"/>
  <c r="A337" s="1"/>
  <c r="A169"/>
  <c r="A338" s="1"/>
  <c r="A170"/>
  <c r="A339" s="1"/>
  <c r="A171"/>
  <c r="A340" s="1"/>
  <c r="A172"/>
  <c r="A341" s="1"/>
  <c r="A9"/>
  <c r="A178" s="1"/>
  <c r="A9" i="47"/>
  <c r="A177" s="1"/>
  <c r="A10"/>
  <c r="A178" s="1"/>
  <c r="A11"/>
  <c r="A179" s="1"/>
  <c r="A12"/>
  <c r="A180" s="1"/>
  <c r="A13"/>
  <c r="A181" s="1"/>
  <c r="A14"/>
  <c r="A182" s="1"/>
  <c r="A15"/>
  <c r="A183" s="1"/>
  <c r="A16"/>
  <c r="A184" s="1"/>
  <c r="A17"/>
  <c r="A185" s="1"/>
  <c r="A19"/>
  <c r="A187" s="1"/>
  <c r="A20"/>
  <c r="A188" s="1"/>
  <c r="A21"/>
  <c r="A189" s="1"/>
  <c r="A22"/>
  <c r="A190" s="1"/>
  <c r="A23"/>
  <c r="A191" s="1"/>
  <c r="A24"/>
  <c r="A192" s="1"/>
  <c r="A25"/>
  <c r="A193" s="1"/>
  <c r="A26"/>
  <c r="A194" s="1"/>
  <c r="A27"/>
  <c r="A195" s="1"/>
  <c r="A28"/>
  <c r="A196" s="1"/>
  <c r="A30"/>
  <c r="A198" s="1"/>
  <c r="A31"/>
  <c r="A199" s="1"/>
  <c r="A32"/>
  <c r="A200" s="1"/>
  <c r="A33"/>
  <c r="A201" s="1"/>
  <c r="A34"/>
  <c r="A202" s="1"/>
  <c r="A35"/>
  <c r="A203" s="1"/>
  <c r="A36"/>
  <c r="A204" s="1"/>
  <c r="A37"/>
  <c r="A205" s="1"/>
  <c r="A38"/>
  <c r="A206" s="1"/>
  <c r="A39"/>
  <c r="A207" s="1"/>
  <c r="A41"/>
  <c r="A209" s="1"/>
  <c r="A42"/>
  <c r="A210" s="1"/>
  <c r="A43"/>
  <c r="A211" s="1"/>
  <c r="A44"/>
  <c r="A212" s="1"/>
  <c r="A45"/>
  <c r="A213" s="1"/>
  <c r="A46"/>
  <c r="A214" s="1"/>
  <c r="A47"/>
  <c r="A215" s="1"/>
  <c r="A48"/>
  <c r="A216" s="1"/>
  <c r="A49"/>
  <c r="A217" s="1"/>
  <c r="A50"/>
  <c r="A218" s="1"/>
  <c r="A52"/>
  <c r="A220" s="1"/>
  <c r="A53"/>
  <c r="A221" s="1"/>
  <c r="A54"/>
  <c r="A222" s="1"/>
  <c r="A55"/>
  <c r="A223" s="1"/>
  <c r="A56"/>
  <c r="A224" s="1"/>
  <c r="A57"/>
  <c r="A225" s="1"/>
  <c r="A58"/>
  <c r="A226" s="1"/>
  <c r="A59"/>
  <c r="A227" s="1"/>
  <c r="A60"/>
  <c r="A228" s="1"/>
  <c r="A61"/>
  <c r="A229" s="1"/>
  <c r="A63"/>
  <c r="A231" s="1"/>
  <c r="A64"/>
  <c r="A232" s="1"/>
  <c r="A65"/>
  <c r="A233" s="1"/>
  <c r="A66"/>
  <c r="A234" s="1"/>
  <c r="A67"/>
  <c r="A235" s="1"/>
  <c r="A68"/>
  <c r="A236" s="1"/>
  <c r="A69"/>
  <c r="A237" s="1"/>
  <c r="A70"/>
  <c r="A238" s="1"/>
  <c r="A71"/>
  <c r="A239" s="1"/>
  <c r="A72"/>
  <c r="A240" s="1"/>
  <c r="A74"/>
  <c r="A242" s="1"/>
  <c r="A75"/>
  <c r="A243" s="1"/>
  <c r="A76"/>
  <c r="A244" s="1"/>
  <c r="A77"/>
  <c r="A245" s="1"/>
  <c r="A78"/>
  <c r="A246" s="1"/>
  <c r="A79"/>
  <c r="A247" s="1"/>
  <c r="A80"/>
  <c r="A248" s="1"/>
  <c r="A81"/>
  <c r="A249" s="1"/>
  <c r="A82"/>
  <c r="A250" s="1"/>
  <c r="A83"/>
  <c r="A251" s="1"/>
  <c r="A85"/>
  <c r="A253" s="1"/>
  <c r="A86"/>
  <c r="A254" s="1"/>
  <c r="A87"/>
  <c r="A255" s="1"/>
  <c r="A88"/>
  <c r="A256" s="1"/>
  <c r="A89"/>
  <c r="A257" s="1"/>
  <c r="A90"/>
  <c r="A258" s="1"/>
  <c r="A91"/>
  <c r="A259" s="1"/>
  <c r="A92"/>
  <c r="A260" s="1"/>
  <c r="A93"/>
  <c r="A261" s="1"/>
  <c r="A94"/>
  <c r="A262" s="1"/>
  <c r="A96"/>
  <c r="A264" s="1"/>
  <c r="A97"/>
  <c r="A265" s="1"/>
  <c r="A98"/>
  <c r="A266" s="1"/>
  <c r="A99"/>
  <c r="A267" s="1"/>
  <c r="A100"/>
  <c r="A268" s="1"/>
  <c r="A101"/>
  <c r="A269" s="1"/>
  <c r="A102"/>
  <c r="A270" s="1"/>
  <c r="A103"/>
  <c r="A271" s="1"/>
  <c r="A104"/>
  <c r="A272" s="1"/>
  <c r="A105"/>
  <c r="A273" s="1"/>
  <c r="A107"/>
  <c r="A275" s="1"/>
  <c r="A108"/>
  <c r="A276" s="1"/>
  <c r="A109"/>
  <c r="A277" s="1"/>
  <c r="A110"/>
  <c r="A278" s="1"/>
  <c r="A111"/>
  <c r="A279" s="1"/>
  <c r="A112"/>
  <c r="A280" s="1"/>
  <c r="A113"/>
  <c r="A281" s="1"/>
  <c r="A114"/>
  <c r="A282" s="1"/>
  <c r="A115"/>
  <c r="A283" s="1"/>
  <c r="A116"/>
  <c r="A284" s="1"/>
  <c r="A118"/>
  <c r="A286" s="1"/>
  <c r="A119"/>
  <c r="A287" s="1"/>
  <c r="A120"/>
  <c r="A288" s="1"/>
  <c r="A121"/>
  <c r="A289" s="1"/>
  <c r="A122"/>
  <c r="A290" s="1"/>
  <c r="A123"/>
  <c r="A291" s="1"/>
  <c r="A124"/>
  <c r="A292" s="1"/>
  <c r="A125"/>
  <c r="A293" s="1"/>
  <c r="A126"/>
  <c r="A294" s="1"/>
  <c r="A127"/>
  <c r="A295" s="1"/>
  <c r="A129"/>
  <c r="A297" s="1"/>
  <c r="A130"/>
  <c r="A298" s="1"/>
  <c r="A131"/>
  <c r="A299" s="1"/>
  <c r="A132"/>
  <c r="A300" s="1"/>
  <c r="A133"/>
  <c r="A301" s="1"/>
  <c r="A134"/>
  <c r="A302" s="1"/>
  <c r="A135"/>
  <c r="A303" s="1"/>
  <c r="A136"/>
  <c r="A304" s="1"/>
  <c r="A137"/>
  <c r="A305" s="1"/>
  <c r="A138"/>
  <c r="A306" s="1"/>
  <c r="A140"/>
  <c r="A308" s="1"/>
  <c r="A141"/>
  <c r="A309" s="1"/>
  <c r="A142"/>
  <c r="A310" s="1"/>
  <c r="A143"/>
  <c r="A311" s="1"/>
  <c r="A144"/>
  <c r="A312" s="1"/>
  <c r="A145"/>
  <c r="A313" s="1"/>
  <c r="A146"/>
  <c r="A314" s="1"/>
  <c r="A147"/>
  <c r="A315" s="1"/>
  <c r="A148"/>
  <c r="A316" s="1"/>
  <c r="A149"/>
  <c r="A317" s="1"/>
  <c r="A151"/>
  <c r="A319" s="1"/>
  <c r="A152"/>
  <c r="A320" s="1"/>
  <c r="A153"/>
  <c r="A321" s="1"/>
  <c r="A154"/>
  <c r="A322" s="1"/>
  <c r="A155"/>
  <c r="A323" s="1"/>
  <c r="A156"/>
  <c r="A324" s="1"/>
  <c r="A157"/>
  <c r="A325" s="1"/>
  <c r="A158"/>
  <c r="A326" s="1"/>
  <c r="A159"/>
  <c r="A327" s="1"/>
  <c r="A160"/>
  <c r="A328" s="1"/>
  <c r="A162"/>
  <c r="A330" s="1"/>
  <c r="A163"/>
  <c r="A331" s="1"/>
  <c r="A164"/>
  <c r="A332" s="1"/>
  <c r="A165"/>
  <c r="A333" s="1"/>
  <c r="A166"/>
  <c r="A334" s="1"/>
  <c r="A167"/>
  <c r="A335" s="1"/>
  <c r="A168"/>
  <c r="A336" s="1"/>
  <c r="A169"/>
  <c r="A337" s="1"/>
  <c r="A170"/>
  <c r="A338" s="1"/>
  <c r="A171"/>
  <c r="A339" s="1"/>
  <c r="A8"/>
  <c r="A176" s="1"/>
  <c r="D166" i="51"/>
  <c r="D165"/>
  <c r="D164"/>
  <c r="D163"/>
  <c r="D162"/>
  <c r="D161"/>
  <c r="D160"/>
  <c r="D159"/>
  <c r="D158"/>
  <c r="D157"/>
  <c r="D155"/>
  <c r="D154"/>
  <c r="D153"/>
  <c r="D152"/>
  <c r="D151"/>
  <c r="D150"/>
  <c r="D149"/>
  <c r="D148"/>
  <c r="D147"/>
  <c r="D146"/>
  <c r="D144"/>
  <c r="D143"/>
  <c r="D142"/>
  <c r="D141"/>
  <c r="D140"/>
  <c r="D139"/>
  <c r="D138"/>
  <c r="D137"/>
  <c r="D136"/>
  <c r="D135"/>
  <c r="D133"/>
  <c r="D132"/>
  <c r="D131"/>
  <c r="D130"/>
  <c r="D129"/>
  <c r="D128"/>
  <c r="D127"/>
  <c r="D126"/>
  <c r="D125"/>
  <c r="D124"/>
  <c r="D122"/>
  <c r="D121"/>
  <c r="D120"/>
  <c r="D119"/>
  <c r="D118"/>
  <c r="D117"/>
  <c r="D116"/>
  <c r="D115"/>
  <c r="D114"/>
  <c r="D113"/>
  <c r="D111"/>
  <c r="D110"/>
  <c r="D109"/>
  <c r="D108"/>
  <c r="D107"/>
  <c r="D106"/>
  <c r="D105"/>
  <c r="D104"/>
  <c r="D103"/>
  <c r="D102"/>
  <c r="D100"/>
  <c r="D99"/>
  <c r="D98"/>
  <c r="D97"/>
  <c r="D96"/>
  <c r="D95"/>
  <c r="D94"/>
  <c r="D93"/>
  <c r="D92"/>
  <c r="D91"/>
  <c r="D89"/>
  <c r="D88"/>
  <c r="D87"/>
  <c r="D86"/>
  <c r="D85"/>
  <c r="D84"/>
  <c r="D83"/>
  <c r="D82"/>
  <c r="D81"/>
  <c r="D80"/>
  <c r="D78"/>
  <c r="D77"/>
  <c r="D76"/>
  <c r="D75"/>
  <c r="D74"/>
  <c r="D73"/>
  <c r="D72"/>
  <c r="D71"/>
  <c r="D70"/>
  <c r="D69"/>
  <c r="D67"/>
  <c r="D66"/>
  <c r="D65"/>
  <c r="D64"/>
  <c r="D63"/>
  <c r="D62"/>
  <c r="D61"/>
  <c r="D60"/>
  <c r="D59"/>
  <c r="D58"/>
  <c r="D56"/>
  <c r="D55"/>
  <c r="D54"/>
  <c r="D53"/>
  <c r="D52"/>
  <c r="D51"/>
  <c r="D50"/>
  <c r="D49"/>
  <c r="D48"/>
  <c r="D47"/>
  <c r="D45"/>
  <c r="D44"/>
  <c r="D43"/>
  <c r="D42"/>
  <c r="D41"/>
  <c r="D40"/>
  <c r="D39"/>
  <c r="D38"/>
  <c r="D37"/>
  <c r="D36"/>
  <c r="D34"/>
  <c r="D33"/>
  <c r="D32"/>
  <c r="D31"/>
  <c r="D30"/>
  <c r="D29"/>
  <c r="D28"/>
  <c r="D27"/>
  <c r="D26"/>
  <c r="D25"/>
  <c r="D23"/>
  <c r="D22"/>
  <c r="D21"/>
  <c r="D20"/>
  <c r="D19"/>
  <c r="D18"/>
  <c r="D17"/>
  <c r="D16"/>
  <c r="A16"/>
  <c r="D15"/>
  <c r="A15"/>
  <c r="D14"/>
  <c r="A14"/>
  <c r="A13"/>
  <c r="A129" i="48" s="1"/>
  <c r="A19" i="11" s="1"/>
  <c r="A17" i="32" s="1"/>
  <c r="A35" s="1"/>
  <c r="D12" i="51"/>
  <c r="A12"/>
  <c r="A117" i="47" s="1"/>
  <c r="D11" i="51"/>
  <c r="A11"/>
  <c r="A107" i="48" s="1"/>
  <c r="D10" i="51"/>
  <c r="A10"/>
  <c r="A96" i="48" s="1"/>
  <c r="A16" i="11" s="1"/>
  <c r="A14" i="32" s="1"/>
  <c r="A32" s="1"/>
  <c r="D9" i="51"/>
  <c r="A85" i="48"/>
  <c r="D8" i="51"/>
  <c r="A73" i="47"/>
  <c r="A13" i="8" s="1"/>
  <c r="A12" i="28" s="1"/>
  <c r="D7" i="51"/>
  <c r="D6"/>
  <c r="A52" i="48"/>
  <c r="A12" i="11" s="1"/>
  <c r="A10" i="32" s="1"/>
  <c r="A28" s="1"/>
  <c r="D5" i="51"/>
  <c r="A41" i="48"/>
  <c r="A210" s="1"/>
  <c r="A29" i="11" s="1"/>
  <c r="D4" i="51"/>
  <c r="A29" i="47"/>
  <c r="A9" i="8" s="1"/>
  <c r="A8" i="28" s="1"/>
  <c r="D3" i="51"/>
  <c r="I54" i="18"/>
  <c r="C54"/>
  <c r="C47" i="12" s="1"/>
  <c r="C45" i="18"/>
  <c r="C24"/>
  <c r="C21" i="12" s="1"/>
  <c r="C26" s="1"/>
  <c r="B38" i="7" s="1"/>
  <c r="C52" i="17"/>
  <c r="C54" s="1"/>
  <c r="C27" i="10" s="1"/>
  <c r="B13" i="7" s="1"/>
  <c r="J87" i="27"/>
  <c r="K87" s="1"/>
  <c r="J76"/>
  <c r="K76" s="1"/>
  <c r="J63"/>
  <c r="K63"/>
  <c r="J38"/>
  <c r="K38" s="1"/>
  <c r="J22"/>
  <c r="K22"/>
  <c r="J13"/>
  <c r="K13" s="1"/>
  <c r="J12"/>
  <c r="K12"/>
  <c r="C81" i="34"/>
  <c r="C55" s="1"/>
  <c r="C53" s="1"/>
  <c r="C17" i="15" s="1"/>
  <c r="C81" i="1"/>
  <c r="L81" i="34"/>
  <c r="L55"/>
  <c r="L53"/>
  <c r="L17" i="15" s="1"/>
  <c r="I81" i="34"/>
  <c r="I55" s="1"/>
  <c r="G81"/>
  <c r="C67"/>
  <c r="J54"/>
  <c r="K54" s="1"/>
  <c r="G55"/>
  <c r="J67" i="18"/>
  <c r="K67"/>
  <c r="C199" i="48"/>
  <c r="C188"/>
  <c r="C162"/>
  <c r="C22" i="11" s="1"/>
  <c r="C151" i="48"/>
  <c r="C140"/>
  <c r="C129"/>
  <c r="C118"/>
  <c r="C107"/>
  <c r="C96"/>
  <c r="C85"/>
  <c r="C74"/>
  <c r="C63"/>
  <c r="C13" i="11" s="1"/>
  <c r="C52" i="48"/>
  <c r="C12" i="11" s="1"/>
  <c r="C41" i="48"/>
  <c r="C11" i="11" s="1"/>
  <c r="C30" i="48"/>
  <c r="C8"/>
  <c r="J29" i="17"/>
  <c r="K29" s="1"/>
  <c r="F36"/>
  <c r="F22" i="10" s="1"/>
  <c r="E11" i="7" s="1"/>
  <c r="M31" i="17"/>
  <c r="M12" i="10" s="1"/>
  <c r="R11" i="30" s="1"/>
  <c r="L31" i="17"/>
  <c r="I31"/>
  <c r="H31"/>
  <c r="H12" i="10" s="1"/>
  <c r="G31" i="17"/>
  <c r="G12" i="10" s="1"/>
  <c r="F31" i="17"/>
  <c r="E31"/>
  <c r="D31"/>
  <c r="D12" i="10" s="1"/>
  <c r="M25" i="17"/>
  <c r="M11" i="10" s="1"/>
  <c r="R10" i="30" s="1"/>
  <c r="L25" i="17"/>
  <c r="I25"/>
  <c r="H25"/>
  <c r="G25"/>
  <c r="G11" i="10" s="1"/>
  <c r="F25" i="17"/>
  <c r="E25"/>
  <c r="D25"/>
  <c r="D11" i="10" s="1"/>
  <c r="M20" i="17"/>
  <c r="M10" i="10" s="1"/>
  <c r="R9" i="30" s="1"/>
  <c r="L20" i="17"/>
  <c r="I20"/>
  <c r="H20"/>
  <c r="G20"/>
  <c r="G10" i="10" s="1"/>
  <c r="F20" i="17"/>
  <c r="E20"/>
  <c r="D20"/>
  <c r="D10" i="10" s="1"/>
  <c r="M15" i="17"/>
  <c r="M9" i="10" s="1"/>
  <c r="R8" i="30" s="1"/>
  <c r="L15" i="17"/>
  <c r="L9" i="10" s="1"/>
  <c r="Q8" i="30" s="1"/>
  <c r="I15" i="17"/>
  <c r="H15"/>
  <c r="H9" i="10" s="1"/>
  <c r="G15" i="17"/>
  <c r="F15"/>
  <c r="E15"/>
  <c r="D15"/>
  <c r="M10"/>
  <c r="M7" i="10" s="1"/>
  <c r="R6" i="30" s="1"/>
  <c r="L10" i="17"/>
  <c r="I10"/>
  <c r="H10"/>
  <c r="G10"/>
  <c r="G7" i="10" s="1"/>
  <c r="F7" i="7" s="1"/>
  <c r="F10" i="17"/>
  <c r="E10"/>
  <c r="E7" i="10" s="1"/>
  <c r="D7" i="7" s="1"/>
  <c r="D10" i="17"/>
  <c r="C31"/>
  <c r="C12" i="10" s="1"/>
  <c r="C25" i="17"/>
  <c r="C20"/>
  <c r="C15"/>
  <c r="C10"/>
  <c r="C7" i="10" s="1"/>
  <c r="F45" i="1"/>
  <c r="G45"/>
  <c r="M45"/>
  <c r="L45"/>
  <c r="I45"/>
  <c r="H45"/>
  <c r="E45"/>
  <c r="D45"/>
  <c r="C45"/>
  <c r="J76"/>
  <c r="K76"/>
  <c r="J47"/>
  <c r="J42"/>
  <c r="K42"/>
  <c r="J43" i="37"/>
  <c r="M45"/>
  <c r="L45"/>
  <c r="I45"/>
  <c r="H45"/>
  <c r="G45"/>
  <c r="F45"/>
  <c r="E45"/>
  <c r="D45"/>
  <c r="C45"/>
  <c r="J76"/>
  <c r="J47"/>
  <c r="K47"/>
  <c r="J42"/>
  <c r="K42"/>
  <c r="M45" i="34"/>
  <c r="L45"/>
  <c r="I45"/>
  <c r="H45"/>
  <c r="G45"/>
  <c r="F45"/>
  <c r="E45"/>
  <c r="D45"/>
  <c r="C45"/>
  <c r="J76"/>
  <c r="K76" s="1"/>
  <c r="J47"/>
  <c r="K47"/>
  <c r="J42"/>
  <c r="K42" s="1"/>
  <c r="Q25" i="33"/>
  <c r="P25"/>
  <c r="Q24"/>
  <c r="P24"/>
  <c r="Q23"/>
  <c r="P23"/>
  <c r="Q22"/>
  <c r="P22"/>
  <c r="Q21"/>
  <c r="P21"/>
  <c r="Q19"/>
  <c r="P19"/>
  <c r="Q18"/>
  <c r="P18"/>
  <c r="Q17"/>
  <c r="P17"/>
  <c r="Q15"/>
  <c r="P15"/>
  <c r="Q14"/>
  <c r="P14"/>
  <c r="Q13"/>
  <c r="P13"/>
  <c r="Q12"/>
  <c r="P12"/>
  <c r="Q11"/>
  <c r="P11"/>
  <c r="Q9"/>
  <c r="P9"/>
  <c r="Q8"/>
  <c r="P8"/>
  <c r="Q7"/>
  <c r="P7"/>
  <c r="J14" i="14"/>
  <c r="K14"/>
  <c r="I37" i="22"/>
  <c r="I3"/>
  <c r="H40"/>
  <c r="G40"/>
  <c r="J44" i="20"/>
  <c r="I44"/>
  <c r="H44"/>
  <c r="C39" i="32"/>
  <c r="H14" i="22"/>
  <c r="G19" i="20"/>
  <c r="G3"/>
  <c r="H3" i="22"/>
  <c r="R36" i="30"/>
  <c r="R34"/>
  <c r="R32"/>
  <c r="R30"/>
  <c r="R28"/>
  <c r="Q36"/>
  <c r="Q34"/>
  <c r="Q32"/>
  <c r="Q30"/>
  <c r="Q28"/>
  <c r="C30" i="10"/>
  <c r="B15" i="7" s="1"/>
  <c r="J20" i="12"/>
  <c r="K20" s="1"/>
  <c r="M20" i="33"/>
  <c r="L20"/>
  <c r="K20"/>
  <c r="J20"/>
  <c r="I20"/>
  <c r="H20"/>
  <c r="G20"/>
  <c r="F20"/>
  <c r="E20"/>
  <c r="D20"/>
  <c r="C20"/>
  <c r="M43" i="29"/>
  <c r="L43"/>
  <c r="L49" s="1"/>
  <c r="K43"/>
  <c r="K49" s="1"/>
  <c r="J43"/>
  <c r="J49" s="1"/>
  <c r="I43"/>
  <c r="H43"/>
  <c r="G43"/>
  <c r="F43"/>
  <c r="E43"/>
  <c r="D43"/>
  <c r="C43"/>
  <c r="M20"/>
  <c r="M26" s="1"/>
  <c r="L20"/>
  <c r="K20"/>
  <c r="J20"/>
  <c r="I20"/>
  <c r="H20"/>
  <c r="G20"/>
  <c r="F20"/>
  <c r="E20"/>
  <c r="E26" s="1"/>
  <c r="D20"/>
  <c r="C20"/>
  <c r="M32" i="9"/>
  <c r="R31" i="29" s="1"/>
  <c r="M36" i="9"/>
  <c r="R35" i="29" s="1"/>
  <c r="M38" i="9"/>
  <c r="R37" i="29" s="1"/>
  <c r="L32" i="9"/>
  <c r="Q31" i="29" s="1"/>
  <c r="L36" i="9"/>
  <c r="Q35" i="29" s="1"/>
  <c r="L38" i="9"/>
  <c r="Q37" i="29" s="1"/>
  <c r="D32" i="9"/>
  <c r="C32"/>
  <c r="E32"/>
  <c r="F32"/>
  <c r="G32"/>
  <c r="H32"/>
  <c r="D36"/>
  <c r="C36"/>
  <c r="E36"/>
  <c r="F36"/>
  <c r="G36"/>
  <c r="H36"/>
  <c r="I36"/>
  <c r="D38"/>
  <c r="C38"/>
  <c r="E38"/>
  <c r="F38"/>
  <c r="G38"/>
  <c r="H38"/>
  <c r="I38"/>
  <c r="M9"/>
  <c r="R8" i="29" s="1"/>
  <c r="M13" i="9"/>
  <c r="R12" i="29" s="1"/>
  <c r="M15" i="9"/>
  <c r="R14" i="29" s="1"/>
  <c r="L9" i="9"/>
  <c r="Q8" i="29" s="1"/>
  <c r="L13" i="9"/>
  <c r="Q12" i="29" s="1"/>
  <c r="L15" i="9"/>
  <c r="Q14" i="29" s="1"/>
  <c r="D9" i="9"/>
  <c r="C9"/>
  <c r="E9"/>
  <c r="F9"/>
  <c r="G9"/>
  <c r="H9"/>
  <c r="I9"/>
  <c r="D13"/>
  <c r="C13"/>
  <c r="E13"/>
  <c r="F13"/>
  <c r="G13"/>
  <c r="H13"/>
  <c r="I13"/>
  <c r="D15"/>
  <c r="C15"/>
  <c r="E15"/>
  <c r="F15"/>
  <c r="G15"/>
  <c r="H15"/>
  <c r="I15"/>
  <c r="J9" i="46"/>
  <c r="K9"/>
  <c r="J141"/>
  <c r="K141" s="1"/>
  <c r="J140"/>
  <c r="K140"/>
  <c r="J139"/>
  <c r="K139" s="1"/>
  <c r="J138"/>
  <c r="K138"/>
  <c r="J137"/>
  <c r="J135"/>
  <c r="J134" s="1"/>
  <c r="J133"/>
  <c r="K133" s="1"/>
  <c r="J132"/>
  <c r="K132"/>
  <c r="J131"/>
  <c r="K131"/>
  <c r="J129"/>
  <c r="K129"/>
  <c r="J128"/>
  <c r="K128"/>
  <c r="J126"/>
  <c r="K126"/>
  <c r="J125"/>
  <c r="K125" s="1"/>
  <c r="K124" s="1"/>
  <c r="J122"/>
  <c r="K122"/>
  <c r="J121"/>
  <c r="K121"/>
  <c r="J120"/>
  <c r="K120"/>
  <c r="K119" s="1"/>
  <c r="J118"/>
  <c r="K118"/>
  <c r="J116"/>
  <c r="K116" s="1"/>
  <c r="J115"/>
  <c r="J112"/>
  <c r="K112" s="1"/>
  <c r="J111"/>
  <c r="K111" s="1"/>
  <c r="J107"/>
  <c r="K107" s="1"/>
  <c r="J106"/>
  <c r="K106" s="1"/>
  <c r="J105"/>
  <c r="K105" s="1"/>
  <c r="J103"/>
  <c r="K103" s="1"/>
  <c r="J102"/>
  <c r="K102" s="1"/>
  <c r="J101"/>
  <c r="K101" s="1"/>
  <c r="J100"/>
  <c r="K100"/>
  <c r="J99"/>
  <c r="K99" s="1"/>
  <c r="J98"/>
  <c r="K98" s="1"/>
  <c r="J96"/>
  <c r="K96" s="1"/>
  <c r="J95"/>
  <c r="K95"/>
  <c r="J94"/>
  <c r="K94" s="1"/>
  <c r="J93"/>
  <c r="K93" s="1"/>
  <c r="J92"/>
  <c r="K92" s="1"/>
  <c r="J91"/>
  <c r="K91" s="1"/>
  <c r="J90"/>
  <c r="K90" s="1"/>
  <c r="J89"/>
  <c r="K89" s="1"/>
  <c r="J88"/>
  <c r="K88" s="1"/>
  <c r="J85"/>
  <c r="K85" s="1"/>
  <c r="J82"/>
  <c r="K82" s="1"/>
  <c r="J72"/>
  <c r="K72"/>
  <c r="J71"/>
  <c r="K71" s="1"/>
  <c r="J70"/>
  <c r="K70"/>
  <c r="J69"/>
  <c r="K69" s="1"/>
  <c r="J68"/>
  <c r="K68"/>
  <c r="J66"/>
  <c r="K66" s="1"/>
  <c r="K65" s="1"/>
  <c r="J64"/>
  <c r="K64" s="1"/>
  <c r="J63"/>
  <c r="K63"/>
  <c r="J62"/>
  <c r="K62" s="1"/>
  <c r="J60"/>
  <c r="K60"/>
  <c r="J59"/>
  <c r="J57"/>
  <c r="J56"/>
  <c r="K56" s="1"/>
  <c r="J53"/>
  <c r="K53"/>
  <c r="J52"/>
  <c r="K52" s="1"/>
  <c r="J51"/>
  <c r="K51"/>
  <c r="J49"/>
  <c r="K49"/>
  <c r="J48"/>
  <c r="K48" s="1"/>
  <c r="J47"/>
  <c r="K47"/>
  <c r="J46"/>
  <c r="K46" s="1"/>
  <c r="J45"/>
  <c r="K45" s="1"/>
  <c r="J43"/>
  <c r="K43" s="1"/>
  <c r="J42"/>
  <c r="K42" s="1"/>
  <c r="J41"/>
  <c r="K41" s="1"/>
  <c r="J38"/>
  <c r="K38" s="1"/>
  <c r="J37"/>
  <c r="K37"/>
  <c r="J36"/>
  <c r="K36" s="1"/>
  <c r="J34"/>
  <c r="K34" s="1"/>
  <c r="J33"/>
  <c r="K33"/>
  <c r="J32"/>
  <c r="K32" s="1"/>
  <c r="J31"/>
  <c r="K31" s="1"/>
  <c r="J30"/>
  <c r="K30" s="1"/>
  <c r="J29"/>
  <c r="J28" s="1"/>
  <c r="J27"/>
  <c r="K27" s="1"/>
  <c r="J26"/>
  <c r="K26"/>
  <c r="J25"/>
  <c r="K25" s="1"/>
  <c r="J24"/>
  <c r="K24" s="1"/>
  <c r="J23"/>
  <c r="K23" s="1"/>
  <c r="J22"/>
  <c r="K22" s="1"/>
  <c r="J21"/>
  <c r="K21" s="1"/>
  <c r="J20"/>
  <c r="K20" s="1"/>
  <c r="J19"/>
  <c r="J16"/>
  <c r="K16" s="1"/>
  <c r="J15"/>
  <c r="J14"/>
  <c r="K14" s="1"/>
  <c r="J13"/>
  <c r="K13" s="1"/>
  <c r="J11"/>
  <c r="K11" s="1"/>
  <c r="J10"/>
  <c r="K10" s="1"/>
  <c r="K8" s="1"/>
  <c r="D298" i="48"/>
  <c r="D37" i="11"/>
  <c r="C298" i="48"/>
  <c r="C37" i="11" s="1"/>
  <c r="E298" i="48"/>
  <c r="E37" i="11"/>
  <c r="F298" i="48"/>
  <c r="F37" i="11" s="1"/>
  <c r="G298" i="48"/>
  <c r="G37" i="11"/>
  <c r="H298" i="48"/>
  <c r="H37" i="11" s="1"/>
  <c r="I298" i="48"/>
  <c r="I37" i="11"/>
  <c r="J64"/>
  <c r="K64" s="1"/>
  <c r="J46"/>
  <c r="M59"/>
  <c r="Q20" i="33" s="1"/>
  <c r="L59" i="11"/>
  <c r="P20" i="33" s="1"/>
  <c r="H59" i="11"/>
  <c r="G59"/>
  <c r="F59"/>
  <c r="E59"/>
  <c r="D59"/>
  <c r="C59"/>
  <c r="J119" i="46"/>
  <c r="J127"/>
  <c r="C136"/>
  <c r="C49" i="9"/>
  <c r="C67" i="46"/>
  <c r="C26" i="9" s="1"/>
  <c r="J8" i="46"/>
  <c r="I28"/>
  <c r="I14" i="9"/>
  <c r="I18" i="46"/>
  <c r="I12" i="9" s="1"/>
  <c r="I67" i="46"/>
  <c r="I26" i="9"/>
  <c r="C23" i="30"/>
  <c r="C37"/>
  <c r="C177" i="48"/>
  <c r="C210"/>
  <c r="C342" s="1"/>
  <c r="C221"/>
  <c r="C232"/>
  <c r="C243"/>
  <c r="C32" i="11" s="1"/>
  <c r="C254" i="48"/>
  <c r="C33" i="11" s="1"/>
  <c r="C265" i="48"/>
  <c r="C287"/>
  <c r="C309"/>
  <c r="C38" i="11" s="1"/>
  <c r="C320" i="48"/>
  <c r="C331"/>
  <c r="C276"/>
  <c r="C19"/>
  <c r="C9" i="11" s="1"/>
  <c r="K46"/>
  <c r="C17" i="13"/>
  <c r="B44" i="7" s="1"/>
  <c r="C36" i="13"/>
  <c r="C27"/>
  <c r="H17"/>
  <c r="G44" i="7" s="1"/>
  <c r="G17" i="13"/>
  <c r="F17"/>
  <c r="E44" i="7" s="1"/>
  <c r="E17" i="13"/>
  <c r="D44" i="7" s="1"/>
  <c r="D17" i="13"/>
  <c r="M162" i="48"/>
  <c r="M22" i="11" s="1"/>
  <c r="R20" i="32" s="1"/>
  <c r="L162" i="48"/>
  <c r="L22" i="11"/>
  <c r="Q20" i="32" s="1"/>
  <c r="M151" i="48"/>
  <c r="M21" i="11" s="1"/>
  <c r="R19" i="32" s="1"/>
  <c r="L151" i="48"/>
  <c r="L21" i="11"/>
  <c r="Q19" i="32" s="1"/>
  <c r="M140" i="48"/>
  <c r="M20" i="11" s="1"/>
  <c r="R18" i="32" s="1"/>
  <c r="L140" i="48"/>
  <c r="L20" i="11"/>
  <c r="Q18" i="32" s="1"/>
  <c r="M129" i="48"/>
  <c r="M19" i="11" s="1"/>
  <c r="R17" i="32" s="1"/>
  <c r="L129" i="48"/>
  <c r="L19" i="11"/>
  <c r="Q17" i="32" s="1"/>
  <c r="M118" i="48"/>
  <c r="M18" i="11" s="1"/>
  <c r="R16" i="32" s="1"/>
  <c r="L118" i="48"/>
  <c r="L18" i="11"/>
  <c r="Q16" i="32" s="1"/>
  <c r="M107" i="48"/>
  <c r="M17" i="11" s="1"/>
  <c r="R15" i="32" s="1"/>
  <c r="L107" i="48"/>
  <c r="L17" i="11"/>
  <c r="Q15" i="32" s="1"/>
  <c r="I162" i="48"/>
  <c r="I22" i="11" s="1"/>
  <c r="H162" i="48"/>
  <c r="H22" i="11"/>
  <c r="G162" i="48"/>
  <c r="F162"/>
  <c r="F22" i="11"/>
  <c r="E162" i="48"/>
  <c r="E22" i="11" s="1"/>
  <c r="D162" i="48"/>
  <c r="D22" i="11"/>
  <c r="I151" i="48"/>
  <c r="I21" i="11" s="1"/>
  <c r="H151" i="48"/>
  <c r="H21" i="11"/>
  <c r="G151" i="48"/>
  <c r="G21" i="11" s="1"/>
  <c r="F151" i="48"/>
  <c r="F21" i="11"/>
  <c r="E151" i="48"/>
  <c r="E21" i="11" s="1"/>
  <c r="D151" i="48"/>
  <c r="D21" i="11"/>
  <c r="I140" i="48"/>
  <c r="I20" i="11" s="1"/>
  <c r="H140" i="48"/>
  <c r="H20" i="11"/>
  <c r="G140" i="48"/>
  <c r="G20" i="11" s="1"/>
  <c r="F140" i="48"/>
  <c r="F20" i="11"/>
  <c r="E140" i="48"/>
  <c r="D140"/>
  <c r="D20" i="11"/>
  <c r="I129" i="48"/>
  <c r="I19" i="11" s="1"/>
  <c r="H129" i="48"/>
  <c r="H19" i="11"/>
  <c r="G129" i="48"/>
  <c r="G19" i="11" s="1"/>
  <c r="F129" i="48"/>
  <c r="F19" i="11"/>
  <c r="E129" i="48"/>
  <c r="E19" i="11" s="1"/>
  <c r="D129" i="48"/>
  <c r="D19" i="11"/>
  <c r="I118" i="48"/>
  <c r="I18" i="11" s="1"/>
  <c r="H118" i="48"/>
  <c r="H18" i="11"/>
  <c r="G118" i="48"/>
  <c r="F118"/>
  <c r="F18" i="11"/>
  <c r="E118" i="48"/>
  <c r="E18" i="11" s="1"/>
  <c r="D118" i="48"/>
  <c r="D18" i="11"/>
  <c r="I107" i="48"/>
  <c r="I17" i="11" s="1"/>
  <c r="H107" i="48"/>
  <c r="H17" i="11"/>
  <c r="G107" i="48"/>
  <c r="G17" i="11" s="1"/>
  <c r="F107" i="48"/>
  <c r="F17" i="11"/>
  <c r="E107" i="48"/>
  <c r="E17" i="11" s="1"/>
  <c r="D107" i="48"/>
  <c r="D17" i="11"/>
  <c r="C20"/>
  <c r="C19"/>
  <c r="C18"/>
  <c r="J82" i="37"/>
  <c r="K82"/>
  <c r="J83"/>
  <c r="K83"/>
  <c r="J84"/>
  <c r="K84"/>
  <c r="J85"/>
  <c r="K85"/>
  <c r="J82" i="1"/>
  <c r="K82"/>
  <c r="J83"/>
  <c r="K83"/>
  <c r="J84"/>
  <c r="K84"/>
  <c r="J85"/>
  <c r="K85"/>
  <c r="J82" i="34"/>
  <c r="K82"/>
  <c r="J83"/>
  <c r="K83"/>
  <c r="J84"/>
  <c r="K84"/>
  <c r="J85"/>
  <c r="K85"/>
  <c r="L81" i="37"/>
  <c r="L55"/>
  <c r="M81"/>
  <c r="M55"/>
  <c r="L81" i="1"/>
  <c r="L55"/>
  <c r="M81"/>
  <c r="M55"/>
  <c r="M81" i="34"/>
  <c r="M55"/>
  <c r="M53"/>
  <c r="M17" i="15" s="1"/>
  <c r="I81" i="37"/>
  <c r="I55" s="1"/>
  <c r="I53" s="1"/>
  <c r="I32" i="15" s="1"/>
  <c r="H81" i="37"/>
  <c r="H55" s="1"/>
  <c r="H53" s="1"/>
  <c r="G81"/>
  <c r="G55" s="1"/>
  <c r="G53" s="1"/>
  <c r="G32" i="15" s="1"/>
  <c r="F81" i="37"/>
  <c r="F55" s="1"/>
  <c r="F53" s="1"/>
  <c r="E81"/>
  <c r="E55"/>
  <c r="D81"/>
  <c r="D55" s="1"/>
  <c r="C81"/>
  <c r="C55"/>
  <c r="C53" s="1"/>
  <c r="C32" i="15" s="1"/>
  <c r="I81" i="1"/>
  <c r="I55"/>
  <c r="H81"/>
  <c r="H55" s="1"/>
  <c r="H53" s="1"/>
  <c r="G81"/>
  <c r="G55"/>
  <c r="F81"/>
  <c r="F55" s="1"/>
  <c r="E81"/>
  <c r="E55"/>
  <c r="D81"/>
  <c r="K81" s="1"/>
  <c r="C55"/>
  <c r="C53" s="1"/>
  <c r="H81" i="34"/>
  <c r="H55"/>
  <c r="H53"/>
  <c r="H17" i="15" s="1"/>
  <c r="F81" i="34"/>
  <c r="F55"/>
  <c r="F53" s="1"/>
  <c r="E81"/>
  <c r="E55" s="1"/>
  <c r="D81"/>
  <c r="D55" s="1"/>
  <c r="M53" i="14"/>
  <c r="M54"/>
  <c r="M55"/>
  <c r="M56"/>
  <c r="M19" i="48"/>
  <c r="M9" i="11" s="1"/>
  <c r="R7" i="32" s="1"/>
  <c r="M61" i="16"/>
  <c r="L61" i="7" s="1"/>
  <c r="J33" i="12"/>
  <c r="K33" s="1"/>
  <c r="M61" i="46"/>
  <c r="M24" i="9" s="1"/>
  <c r="R23" i="29" s="1"/>
  <c r="O25" i="33"/>
  <c r="N25" s="1"/>
  <c r="N25" i="31"/>
  <c r="O25" s="1"/>
  <c r="B28" i="38"/>
  <c r="B63" i="39" s="1"/>
  <c r="E12" i="10"/>
  <c r="F12"/>
  <c r="I12"/>
  <c r="I4" i="30"/>
  <c r="M329" i="47"/>
  <c r="M39" i="8" s="1"/>
  <c r="R38" i="28" s="1"/>
  <c r="L329" i="47"/>
  <c r="L39" i="8"/>
  <c r="Q38" i="28" s="1"/>
  <c r="M318" i="47"/>
  <c r="M38" i="8" s="1"/>
  <c r="R37" i="28" s="1"/>
  <c r="L318" i="47"/>
  <c r="L38" i="8"/>
  <c r="Q37" i="28" s="1"/>
  <c r="M307" i="47"/>
  <c r="M37" i="8" s="1"/>
  <c r="R36" i="28" s="1"/>
  <c r="L307" i="47"/>
  <c r="L37" i="8"/>
  <c r="Q36" i="28" s="1"/>
  <c r="M296" i="47"/>
  <c r="M36" i="8" s="1"/>
  <c r="R35" i="28" s="1"/>
  <c r="L296" i="47"/>
  <c r="L36" i="8"/>
  <c r="Q35" i="28" s="1"/>
  <c r="M285" i="47"/>
  <c r="M35" i="8" s="1"/>
  <c r="R34" i="28" s="1"/>
  <c r="L285" i="47"/>
  <c r="L35" i="8"/>
  <c r="Q34" i="28" s="1"/>
  <c r="M274" i="47"/>
  <c r="M34" i="8" s="1"/>
  <c r="R33" i="28" s="1"/>
  <c r="L274" i="47"/>
  <c r="L34" i="8"/>
  <c r="Q33" i="28" s="1"/>
  <c r="M263" i="47"/>
  <c r="M33" i="8" s="1"/>
  <c r="R32" i="28" s="1"/>
  <c r="L263" i="47"/>
  <c r="L33" i="8"/>
  <c r="Q32" i="28" s="1"/>
  <c r="M252" i="47"/>
  <c r="M32" i="8" s="1"/>
  <c r="R31" i="28" s="1"/>
  <c r="L252" i="47"/>
  <c r="L32" i="8" s="1"/>
  <c r="Q31" i="28" s="1"/>
  <c r="M241" i="47"/>
  <c r="M31" i="8" s="1"/>
  <c r="R30" i="28" s="1"/>
  <c r="L241" i="47"/>
  <c r="L31" i="8" s="1"/>
  <c r="Q30" i="28" s="1"/>
  <c r="M230" i="47"/>
  <c r="M30" i="8" s="1"/>
  <c r="R29" i="28" s="1"/>
  <c r="L230" i="47"/>
  <c r="L30" i="8"/>
  <c r="Q29" i="28" s="1"/>
  <c r="M219" i="47"/>
  <c r="M29" i="8" s="1"/>
  <c r="R28" i="28" s="1"/>
  <c r="L219" i="47"/>
  <c r="L29" i="8"/>
  <c r="Q28" i="28" s="1"/>
  <c r="M208" i="47"/>
  <c r="M28" i="8" s="1"/>
  <c r="R27" i="28" s="1"/>
  <c r="L208" i="47"/>
  <c r="L28" i="8" s="1"/>
  <c r="M197" i="47"/>
  <c r="M27" i="8" s="1"/>
  <c r="R26" i="28" s="1"/>
  <c r="L197" i="47"/>
  <c r="L27" i="8" s="1"/>
  <c r="Q26" i="28" s="1"/>
  <c r="M186" i="47"/>
  <c r="M26" i="8" s="1"/>
  <c r="R25" i="28" s="1"/>
  <c r="M175" i="47"/>
  <c r="L175"/>
  <c r="L25" i="8" s="1"/>
  <c r="Q24" i="28" s="1"/>
  <c r="M7" i="47"/>
  <c r="M18"/>
  <c r="M8" i="8" s="1"/>
  <c r="R7" i="28" s="1"/>
  <c r="M29" i="47"/>
  <c r="M9" i="8" s="1"/>
  <c r="R8" i="28" s="1"/>
  <c r="M40" i="47"/>
  <c r="M10" i="8" s="1"/>
  <c r="R9" i="28" s="1"/>
  <c r="M51" i="47"/>
  <c r="M11" i="8" s="1"/>
  <c r="R10" i="28" s="1"/>
  <c r="M62" i="47"/>
  <c r="M12" i="8" s="1"/>
  <c r="R11" i="28" s="1"/>
  <c r="M73" i="47"/>
  <c r="M13" i="8" s="1"/>
  <c r="R12" i="28" s="1"/>
  <c r="M84" i="47"/>
  <c r="M14" i="8"/>
  <c r="R13" i="28" s="1"/>
  <c r="M95" i="47"/>
  <c r="M15" i="8" s="1"/>
  <c r="R14" i="28" s="1"/>
  <c r="M106" i="47"/>
  <c r="M16" i="8"/>
  <c r="R15" i="28" s="1"/>
  <c r="M117" i="47"/>
  <c r="M17" i="8" s="1"/>
  <c r="R16" i="28" s="1"/>
  <c r="M128" i="47"/>
  <c r="M18" i="8"/>
  <c r="R17" i="28" s="1"/>
  <c r="M139" i="47"/>
  <c r="M19" i="8" s="1"/>
  <c r="R18" i="28" s="1"/>
  <c r="M150" i="47"/>
  <c r="M20" i="8"/>
  <c r="R19" i="28" s="1"/>
  <c r="M161" i="47"/>
  <c r="M21" i="8" s="1"/>
  <c r="R20" i="28" s="1"/>
  <c r="L7" i="47"/>
  <c r="L7" i="8"/>
  <c r="Q6" i="28" s="1"/>
  <c r="L18" i="47"/>
  <c r="L8" i="8" s="1"/>
  <c r="Q7" i="28" s="1"/>
  <c r="L29" i="47"/>
  <c r="L9" i="8" s="1"/>
  <c r="Q8" i="28" s="1"/>
  <c r="L40" i="47"/>
  <c r="L10" i="8" s="1"/>
  <c r="Q9" i="28" s="1"/>
  <c r="L51" i="47"/>
  <c r="L11" i="8" s="1"/>
  <c r="Q10" i="28" s="1"/>
  <c r="L62" i="47"/>
  <c r="L12" i="8" s="1"/>
  <c r="Q11" i="28" s="1"/>
  <c r="L73" i="47"/>
  <c r="L13" i="8"/>
  <c r="Q12" i="28" s="1"/>
  <c r="L84" i="47"/>
  <c r="L14" i="8" s="1"/>
  <c r="Q13" i="28" s="1"/>
  <c r="L95" i="47"/>
  <c r="L15" i="8"/>
  <c r="Q14" i="28" s="1"/>
  <c r="L106" i="47"/>
  <c r="L16" i="8" s="1"/>
  <c r="Q15" i="28" s="1"/>
  <c r="L117" i="47"/>
  <c r="L17" i="8"/>
  <c r="Q16" i="28" s="1"/>
  <c r="L128" i="47"/>
  <c r="L18" i="8" s="1"/>
  <c r="Q17" i="28" s="1"/>
  <c r="L139" i="47"/>
  <c r="L19" i="8"/>
  <c r="Q18" i="28" s="1"/>
  <c r="L150" i="47"/>
  <c r="L20" i="8" s="1"/>
  <c r="Q19" i="28" s="1"/>
  <c r="L161" i="47"/>
  <c r="L21" i="8"/>
  <c r="Q20" i="28" s="1"/>
  <c r="I329" i="47"/>
  <c r="I39" i="8" s="1"/>
  <c r="H329" i="47"/>
  <c r="H39" i="8"/>
  <c r="G329" i="47"/>
  <c r="G39" i="8" s="1"/>
  <c r="F329" i="47"/>
  <c r="F39" i="8"/>
  <c r="E329" i="47"/>
  <c r="D329"/>
  <c r="D39" i="8"/>
  <c r="I318" i="47"/>
  <c r="I38" i="8" s="1"/>
  <c r="H318" i="47"/>
  <c r="H38" i="8"/>
  <c r="G318" i="47"/>
  <c r="G38" i="8" s="1"/>
  <c r="F318" i="47"/>
  <c r="F38" i="8"/>
  <c r="E318" i="47"/>
  <c r="E38" i="8" s="1"/>
  <c r="D318" i="47"/>
  <c r="D38" i="8"/>
  <c r="I307" i="47"/>
  <c r="H307"/>
  <c r="H37" i="8"/>
  <c r="G307" i="47"/>
  <c r="G37" i="8" s="1"/>
  <c r="F307" i="47"/>
  <c r="F37" i="8"/>
  <c r="E307" i="47"/>
  <c r="E37" i="8" s="1"/>
  <c r="D307" i="47"/>
  <c r="D37" i="8"/>
  <c r="I296" i="47"/>
  <c r="I36" i="8" s="1"/>
  <c r="H296" i="47"/>
  <c r="H36" i="8"/>
  <c r="G296" i="47"/>
  <c r="F296"/>
  <c r="F36" i="8"/>
  <c r="E296" i="47"/>
  <c r="E36" i="8" s="1"/>
  <c r="D296" i="47"/>
  <c r="D36" i="8"/>
  <c r="I285" i="47"/>
  <c r="I35" i="8" s="1"/>
  <c r="H285" i="47"/>
  <c r="H35" i="8"/>
  <c r="G285" i="47"/>
  <c r="G35" i="8" s="1"/>
  <c r="F285" i="47"/>
  <c r="F35" i="8"/>
  <c r="E285" i="47"/>
  <c r="D285"/>
  <c r="D35" i="8"/>
  <c r="I274" i="47"/>
  <c r="I34" i="8" s="1"/>
  <c r="H274" i="47"/>
  <c r="H34" i="8"/>
  <c r="G274" i="47"/>
  <c r="G34" i="8" s="1"/>
  <c r="F274" i="47"/>
  <c r="F34" i="8"/>
  <c r="E274" i="47"/>
  <c r="E34" i="8" s="1"/>
  <c r="D274" i="47"/>
  <c r="D34" i="8" s="1"/>
  <c r="I263" i="47"/>
  <c r="I33" i="8"/>
  <c r="H263" i="47"/>
  <c r="H33" i="8" s="1"/>
  <c r="G263" i="47"/>
  <c r="G33" i="8"/>
  <c r="F263" i="47"/>
  <c r="F33" i="8" s="1"/>
  <c r="E263" i="47"/>
  <c r="E33" i="8"/>
  <c r="D263" i="47"/>
  <c r="D33" i="8" s="1"/>
  <c r="H252" i="47"/>
  <c r="H32" i="8" s="1"/>
  <c r="G252" i="47"/>
  <c r="G32" i="8"/>
  <c r="F252" i="47"/>
  <c r="F32" i="8" s="1"/>
  <c r="E252" i="47"/>
  <c r="E32" i="8"/>
  <c r="D252" i="47"/>
  <c r="D32" i="8" s="1"/>
  <c r="I241" i="47"/>
  <c r="I31" i="8" s="1"/>
  <c r="H241" i="47"/>
  <c r="H31" i="8" s="1"/>
  <c r="G241" i="47"/>
  <c r="G31" i="8"/>
  <c r="F241" i="47"/>
  <c r="E241"/>
  <c r="E31" i="8" s="1"/>
  <c r="D241" i="47"/>
  <c r="D31" i="8" s="1"/>
  <c r="I230" i="47"/>
  <c r="J230" s="1"/>
  <c r="H230"/>
  <c r="H30" i="8" s="1"/>
  <c r="G230" i="47"/>
  <c r="G30" i="8"/>
  <c r="F230" i="47"/>
  <c r="F30" i="8" s="1"/>
  <c r="E230" i="47"/>
  <c r="E30" i="8" s="1"/>
  <c r="D230" i="47"/>
  <c r="D30" i="8" s="1"/>
  <c r="I219" i="47"/>
  <c r="I29" i="8" s="1"/>
  <c r="H219" i="47"/>
  <c r="H29" i="8"/>
  <c r="G219" i="47"/>
  <c r="G29" i="8"/>
  <c r="F219" i="47"/>
  <c r="F29" i="8"/>
  <c r="E219" i="47"/>
  <c r="D219"/>
  <c r="D29" i="8" s="1"/>
  <c r="H208" i="47"/>
  <c r="H28" i="8"/>
  <c r="G208" i="47"/>
  <c r="G28" i="8"/>
  <c r="F208" i="47"/>
  <c r="F28" i="8"/>
  <c r="E208" i="47"/>
  <c r="E28" i="8" s="1"/>
  <c r="D208" i="47"/>
  <c r="D28" i="8"/>
  <c r="H197" i="47"/>
  <c r="H27" i="8" s="1"/>
  <c r="G197" i="47"/>
  <c r="G27" i="8" s="1"/>
  <c r="F197" i="47"/>
  <c r="F27" i="8"/>
  <c r="E197" i="47"/>
  <c r="E27" i="8" s="1"/>
  <c r="D197" i="47"/>
  <c r="D27" i="8" s="1"/>
  <c r="H186" i="47"/>
  <c r="H26" i="8"/>
  <c r="G186" i="47"/>
  <c r="G26" i="8" s="1"/>
  <c r="F186" i="47"/>
  <c r="F26" i="8"/>
  <c r="E186" i="47"/>
  <c r="E26" i="8" s="1"/>
  <c r="D186" i="47"/>
  <c r="D26" i="8" s="1"/>
  <c r="I175" i="47"/>
  <c r="I25" i="8" s="1"/>
  <c r="H175" i="47"/>
  <c r="H25" i="8"/>
  <c r="G175" i="47"/>
  <c r="G25" i="8" s="1"/>
  <c r="F175" i="47"/>
  <c r="F25" i="8"/>
  <c r="E175" i="47"/>
  <c r="E25" i="8" s="1"/>
  <c r="D175" i="47"/>
  <c r="D25" i="8"/>
  <c r="I7" i="47"/>
  <c r="I7" i="8" s="1"/>
  <c r="I18" i="47"/>
  <c r="I8" i="8" s="1"/>
  <c r="I29" i="47"/>
  <c r="I9" i="8" s="1"/>
  <c r="I40" i="47"/>
  <c r="I10" i="8"/>
  <c r="I51" i="47"/>
  <c r="I11" i="8" s="1"/>
  <c r="I62" i="47"/>
  <c r="I12" i="8"/>
  <c r="I73" i="47"/>
  <c r="I13" i="8" s="1"/>
  <c r="I84" i="47"/>
  <c r="I14" i="8"/>
  <c r="I95" i="47"/>
  <c r="I15" i="8" s="1"/>
  <c r="I106" i="47"/>
  <c r="I16" i="8"/>
  <c r="I117" i="47"/>
  <c r="I17" i="8" s="1"/>
  <c r="I128" i="47"/>
  <c r="I18" i="8"/>
  <c r="I139" i="47"/>
  <c r="I19" i="8" s="1"/>
  <c r="I150" i="47"/>
  <c r="I20" i="8"/>
  <c r="I161" i="47"/>
  <c r="I21" i="8" s="1"/>
  <c r="H7" i="47"/>
  <c r="H7" i="8"/>
  <c r="H18" i="47"/>
  <c r="H8" i="8" s="1"/>
  <c r="H29" i="47"/>
  <c r="H9" i="8"/>
  <c r="H40" i="47"/>
  <c r="H10" i="8" s="1"/>
  <c r="H51" i="47"/>
  <c r="H11" i="8"/>
  <c r="H62" i="47"/>
  <c r="H12" i="8" s="1"/>
  <c r="H73" i="47"/>
  <c r="H13" i="8"/>
  <c r="H84" i="47"/>
  <c r="H14" i="8" s="1"/>
  <c r="H95" i="47"/>
  <c r="H15" i="8"/>
  <c r="H106" i="47"/>
  <c r="H16" i="8" s="1"/>
  <c r="H117" i="47"/>
  <c r="H17" i="8"/>
  <c r="H128" i="47"/>
  <c r="H18" i="8" s="1"/>
  <c r="H139" i="47"/>
  <c r="H19" i="8"/>
  <c r="H150" i="47"/>
  <c r="H20" i="8" s="1"/>
  <c r="H161" i="47"/>
  <c r="H21" i="8"/>
  <c r="G7" i="47"/>
  <c r="G18"/>
  <c r="G8" i="8"/>
  <c r="G29" i="47"/>
  <c r="G9" i="8" s="1"/>
  <c r="G40" i="47"/>
  <c r="G10" i="8"/>
  <c r="G51" i="47"/>
  <c r="G11" i="8" s="1"/>
  <c r="G62" i="47"/>
  <c r="G12" i="8"/>
  <c r="G73" i="47"/>
  <c r="G13" i="8" s="1"/>
  <c r="G84" i="47"/>
  <c r="G14" i="8" s="1"/>
  <c r="G95" i="47"/>
  <c r="G106"/>
  <c r="G16" i="8" s="1"/>
  <c r="G117" i="47"/>
  <c r="G17" i="8" s="1"/>
  <c r="G128" i="47"/>
  <c r="G18" i="8" s="1"/>
  <c r="G139" i="47"/>
  <c r="G19" i="8" s="1"/>
  <c r="G150" i="47"/>
  <c r="G20" i="8"/>
  <c r="G161" i="47"/>
  <c r="F7"/>
  <c r="F7" i="8" s="1"/>
  <c r="F18" i="47"/>
  <c r="F29"/>
  <c r="F40"/>
  <c r="F10" i="8" s="1"/>
  <c r="F51" i="47"/>
  <c r="F11" i="8"/>
  <c r="F62" i="47"/>
  <c r="F12" i="8" s="1"/>
  <c r="F73" i="47"/>
  <c r="F13" i="8"/>
  <c r="F84" i="47"/>
  <c r="F95"/>
  <c r="F15" i="8" s="1"/>
  <c r="F106" i="47"/>
  <c r="F117"/>
  <c r="F17" i="8" s="1"/>
  <c r="F128" i="47"/>
  <c r="F18" i="8" s="1"/>
  <c r="F139" i="47"/>
  <c r="J139" s="1"/>
  <c r="F150"/>
  <c r="F20" i="8" s="1"/>
  <c r="F161" i="47"/>
  <c r="F21" i="8"/>
  <c r="E7" i="47"/>
  <c r="E18"/>
  <c r="E8" i="8" s="1"/>
  <c r="E29" i="47"/>
  <c r="E9" i="8" s="1"/>
  <c r="E40" i="47"/>
  <c r="E51"/>
  <c r="E11" i="8" s="1"/>
  <c r="E62" i="47"/>
  <c r="E12" i="8" s="1"/>
  <c r="E73" i="47"/>
  <c r="E13" i="8" s="1"/>
  <c r="E84" i="47"/>
  <c r="E14" i="8" s="1"/>
  <c r="E95" i="47"/>
  <c r="E15" i="8" s="1"/>
  <c r="E106" i="47"/>
  <c r="E16" i="8" s="1"/>
  <c r="E117" i="47"/>
  <c r="E128"/>
  <c r="E139"/>
  <c r="E19" i="8" s="1"/>
  <c r="E150" i="47"/>
  <c r="J150" s="1"/>
  <c r="K150" s="1"/>
  <c r="E161"/>
  <c r="E21" i="8" s="1"/>
  <c r="D7" i="47"/>
  <c r="D7" i="8"/>
  <c r="D18" i="47"/>
  <c r="D29"/>
  <c r="D9" i="8" s="1"/>
  <c r="D40" i="47"/>
  <c r="D10" i="8" s="1"/>
  <c r="D51" i="47"/>
  <c r="D62"/>
  <c r="D12" i="8" s="1"/>
  <c r="D73" i="47"/>
  <c r="D13" i="8" s="1"/>
  <c r="D84" i="47"/>
  <c r="D14" i="8" s="1"/>
  <c r="D95" i="47"/>
  <c r="D15" i="8"/>
  <c r="D106" i="47"/>
  <c r="D16" i="8" s="1"/>
  <c r="D117" i="47"/>
  <c r="D17" i="8" s="1"/>
  <c r="D128" i="47"/>
  <c r="D139"/>
  <c r="D150"/>
  <c r="D20" i="8" s="1"/>
  <c r="D161" i="47"/>
  <c r="C7"/>
  <c r="C7" i="8" s="1"/>
  <c r="C18" i="47"/>
  <c r="C8" i="8" s="1"/>
  <c r="C29" i="47"/>
  <c r="C40"/>
  <c r="C10" i="8" s="1"/>
  <c r="C51" i="47"/>
  <c r="C11" i="8" s="1"/>
  <c r="C62" i="47"/>
  <c r="C73"/>
  <c r="C13" i="8" s="1"/>
  <c r="C84" i="47"/>
  <c r="C14" i="8" s="1"/>
  <c r="C95" i="47"/>
  <c r="C15" i="8" s="1"/>
  <c r="C106" i="47"/>
  <c r="C117"/>
  <c r="C17" i="8" s="1"/>
  <c r="C128" i="47"/>
  <c r="C18" i="8" s="1"/>
  <c r="C139" i="47"/>
  <c r="C19" i="8" s="1"/>
  <c r="C150" i="47"/>
  <c r="C20" i="8"/>
  <c r="C161" i="47"/>
  <c r="C21" i="8" s="1"/>
  <c r="C175" i="47"/>
  <c r="C25" i="8" s="1"/>
  <c r="C186" i="47"/>
  <c r="C26" i="8" s="1"/>
  <c r="C197" i="47"/>
  <c r="C208"/>
  <c r="C28" i="8" s="1"/>
  <c r="C219" i="47"/>
  <c r="C230"/>
  <c r="C30" i="8" s="1"/>
  <c r="C241" i="47"/>
  <c r="C31" i="8" s="1"/>
  <c r="C252" i="47"/>
  <c r="C32" i="8" s="1"/>
  <c r="C263" i="47"/>
  <c r="C33" i="8"/>
  <c r="C274" i="47"/>
  <c r="C34" i="8" s="1"/>
  <c r="C285" i="47"/>
  <c r="C296"/>
  <c r="C36" i="8" s="1"/>
  <c r="C307" i="47"/>
  <c r="C37" i="8"/>
  <c r="C318" i="47"/>
  <c r="C38" i="8" s="1"/>
  <c r="C329" i="47"/>
  <c r="C39" i="8"/>
  <c r="C77" i="46"/>
  <c r="C31" i="9" s="1"/>
  <c r="C81" i="46"/>
  <c r="C33" i="9" s="1"/>
  <c r="C87" i="46"/>
  <c r="C35" i="9" s="1"/>
  <c r="C97" i="46"/>
  <c r="C37" i="9" s="1"/>
  <c r="C104" i="46"/>
  <c r="C39" i="9" s="1"/>
  <c r="C109" i="46"/>
  <c r="C41" i="9" s="1"/>
  <c r="C113" i="46"/>
  <c r="C42" i="9" s="1"/>
  <c r="C119" i="46"/>
  <c r="C43" i="9"/>
  <c r="C124" i="46"/>
  <c r="C127"/>
  <c r="C46" i="9"/>
  <c r="C130" i="46"/>
  <c r="C47" i="9" s="1"/>
  <c r="C134" i="46"/>
  <c r="C48" i="9" s="1"/>
  <c r="C8" i="46"/>
  <c r="C8" i="9" s="1"/>
  <c r="C12" i="46"/>
  <c r="C10" i="9" s="1"/>
  <c r="C18" i="46"/>
  <c r="C12" i="9" s="1"/>
  <c r="C28" i="46"/>
  <c r="C14" i="9" s="1"/>
  <c r="C35" i="46"/>
  <c r="C40"/>
  <c r="C18" i="9"/>
  <c r="C44" i="46"/>
  <c r="C50"/>
  <c r="C20" i="9"/>
  <c r="C55" i="46"/>
  <c r="C58"/>
  <c r="C23" i="9" s="1"/>
  <c r="C61" i="46"/>
  <c r="C24" i="9" s="1"/>
  <c r="C65" i="46"/>
  <c r="C25" i="9" s="1"/>
  <c r="E8" i="48"/>
  <c r="F8"/>
  <c r="G8"/>
  <c r="H8"/>
  <c r="I8"/>
  <c r="J8" s="1"/>
  <c r="E19"/>
  <c r="F19"/>
  <c r="F9" i="11"/>
  <c r="G19" i="48"/>
  <c r="G9" i="11" s="1"/>
  <c r="H19" i="48"/>
  <c r="I19"/>
  <c r="I9" i="11" s="1"/>
  <c r="E30" i="48"/>
  <c r="E10" i="11" s="1"/>
  <c r="F30" i="48"/>
  <c r="F10" i="11" s="1"/>
  <c r="G30" i="48"/>
  <c r="G10" i="11"/>
  <c r="H30" i="48"/>
  <c r="H10" i="11" s="1"/>
  <c r="I30" i="48"/>
  <c r="I10" i="11" s="1"/>
  <c r="E41" i="48"/>
  <c r="E11" i="11" s="1"/>
  <c r="F41" i="48"/>
  <c r="F11" i="11"/>
  <c r="G41" i="48"/>
  <c r="G11" i="11" s="1"/>
  <c r="H41" i="48"/>
  <c r="H11" i="11"/>
  <c r="I41" i="48"/>
  <c r="I11" i="11" s="1"/>
  <c r="E52" i="48"/>
  <c r="E12" i="11" s="1"/>
  <c r="F52" i="48"/>
  <c r="F12" i="11" s="1"/>
  <c r="G52" i="48"/>
  <c r="G12" i="11"/>
  <c r="H52" i="48"/>
  <c r="H12" i="11" s="1"/>
  <c r="I52" i="48"/>
  <c r="I12" i="11"/>
  <c r="E63" i="48"/>
  <c r="E13" i="11" s="1"/>
  <c r="F63" i="48"/>
  <c r="F13" i="11"/>
  <c r="G63" i="48"/>
  <c r="G13" i="11" s="1"/>
  <c r="H63" i="48"/>
  <c r="H13" i="11"/>
  <c r="I63" i="48"/>
  <c r="I13" i="11" s="1"/>
  <c r="E74" i="48"/>
  <c r="E14" i="11" s="1"/>
  <c r="F74" i="48"/>
  <c r="F14" i="11" s="1"/>
  <c r="G74" i="48"/>
  <c r="G14" i="11"/>
  <c r="H74" i="48"/>
  <c r="H14" i="11" s="1"/>
  <c r="E85" i="48"/>
  <c r="E15" i="11" s="1"/>
  <c r="F85" i="48"/>
  <c r="F15" i="11"/>
  <c r="G85" i="48"/>
  <c r="G15" i="11" s="1"/>
  <c r="H85" i="48"/>
  <c r="H15" i="11"/>
  <c r="E96" i="48"/>
  <c r="E16" i="11"/>
  <c r="F96" i="48"/>
  <c r="F16" i="11" s="1"/>
  <c r="G96" i="48"/>
  <c r="G16" i="11"/>
  <c r="H96" i="48"/>
  <c r="H16" i="11" s="1"/>
  <c r="I96" i="48"/>
  <c r="I16" i="11"/>
  <c r="E177" i="48"/>
  <c r="E26" i="11"/>
  <c r="F177" i="48"/>
  <c r="F26" i="11"/>
  <c r="G177" i="48"/>
  <c r="G26" i="11"/>
  <c r="H177" i="48"/>
  <c r="H26" i="11"/>
  <c r="I177" i="48"/>
  <c r="I26" i="11"/>
  <c r="E188" i="48"/>
  <c r="E27" i="11"/>
  <c r="F188" i="48"/>
  <c r="F27" i="11" s="1"/>
  <c r="G188" i="48"/>
  <c r="G27" i="11"/>
  <c r="H188" i="48"/>
  <c r="H27" i="11" s="1"/>
  <c r="I188" i="48"/>
  <c r="E199"/>
  <c r="E28" i="11" s="1"/>
  <c r="F199" i="48"/>
  <c r="J199" s="1"/>
  <c r="F28" i="11"/>
  <c r="G199" i="48"/>
  <c r="G28" i="11" s="1"/>
  <c r="H199" i="48"/>
  <c r="H28" i="11"/>
  <c r="I199" i="48"/>
  <c r="I28" i="11" s="1"/>
  <c r="E210" i="48"/>
  <c r="E29" i="11"/>
  <c r="F210" i="48"/>
  <c r="F29" i="11" s="1"/>
  <c r="G210" i="48"/>
  <c r="G29" i="11" s="1"/>
  <c r="H210" i="48"/>
  <c r="H29" i="11" s="1"/>
  <c r="I210" i="48"/>
  <c r="I29" i="11" s="1"/>
  <c r="E221" i="48"/>
  <c r="E30" i="11" s="1"/>
  <c r="F221" i="48"/>
  <c r="F30" i="11"/>
  <c r="G221" i="48"/>
  <c r="G30" i="11" s="1"/>
  <c r="H221" i="48"/>
  <c r="H30" i="11"/>
  <c r="I221" i="48"/>
  <c r="I30" i="11" s="1"/>
  <c r="E232" i="48"/>
  <c r="E31" i="11" s="1"/>
  <c r="F232" i="48"/>
  <c r="F31" i="11" s="1"/>
  <c r="G232" i="48"/>
  <c r="H232"/>
  <c r="H31" i="11" s="1"/>
  <c r="I232" i="48"/>
  <c r="I31" i="11"/>
  <c r="E243" i="48"/>
  <c r="E32" i="11" s="1"/>
  <c r="F243" i="48"/>
  <c r="F32" i="11"/>
  <c r="G243" i="48"/>
  <c r="G32" i="11" s="1"/>
  <c r="H243" i="48"/>
  <c r="H32" i="11" s="1"/>
  <c r="I243" i="48"/>
  <c r="I32" i="11" s="1"/>
  <c r="E254" i="48"/>
  <c r="E342" s="1"/>
  <c r="F254"/>
  <c r="G254"/>
  <c r="H254"/>
  <c r="H33" i="11"/>
  <c r="I254" i="48"/>
  <c r="I342" s="1"/>
  <c r="E265"/>
  <c r="E34" i="11" s="1"/>
  <c r="F265" i="48"/>
  <c r="F34" i="11"/>
  <c r="G265" i="48"/>
  <c r="G34" i="11" s="1"/>
  <c r="H265" i="48"/>
  <c r="I265"/>
  <c r="I34" i="11" s="1"/>
  <c r="E276" i="48"/>
  <c r="E35" i="11"/>
  <c r="F276" i="48"/>
  <c r="F35" i="11" s="1"/>
  <c r="G276" i="48"/>
  <c r="G35" i="11"/>
  <c r="H276" i="48"/>
  <c r="H35" i="11" s="1"/>
  <c r="I276" i="48"/>
  <c r="I35" i="11"/>
  <c r="E287" i="48"/>
  <c r="E36" i="11" s="1"/>
  <c r="F287" i="48"/>
  <c r="G287"/>
  <c r="G36" i="11"/>
  <c r="H287" i="48"/>
  <c r="H36" i="11" s="1"/>
  <c r="I287" i="48"/>
  <c r="I36" i="11" s="1"/>
  <c r="E309" i="48"/>
  <c r="E38" i="11" s="1"/>
  <c r="F309" i="48"/>
  <c r="F38" i="11"/>
  <c r="G309" i="48"/>
  <c r="G38" i="11" s="1"/>
  <c r="H309" i="48"/>
  <c r="H38" i="11"/>
  <c r="I309" i="48"/>
  <c r="I38" i="11" s="1"/>
  <c r="E320" i="48"/>
  <c r="E39" i="11"/>
  <c r="F320" i="48"/>
  <c r="F39" i="11" s="1"/>
  <c r="G320" i="48"/>
  <c r="G39" i="11" s="1"/>
  <c r="H320" i="48"/>
  <c r="H39" i="11" s="1"/>
  <c r="I320" i="48"/>
  <c r="I39" i="11" s="1"/>
  <c r="E331" i="48"/>
  <c r="E40" i="11" s="1"/>
  <c r="F331" i="48"/>
  <c r="F40" i="11"/>
  <c r="G331" i="48"/>
  <c r="G40" i="11" s="1"/>
  <c r="H331" i="48"/>
  <c r="H40" i="11"/>
  <c r="I331" i="48"/>
  <c r="I40" i="11" s="1"/>
  <c r="O21" i="32"/>
  <c r="A65" i="39"/>
  <c r="B97" s="1"/>
  <c r="M177" i="48"/>
  <c r="M26" i="11" s="1"/>
  <c r="R24" i="32" s="1"/>
  <c r="M188" i="48"/>
  <c r="M199"/>
  <c r="M28" i="11" s="1"/>
  <c r="R26" i="32" s="1"/>
  <c r="M210" i="48"/>
  <c r="M29" i="11" s="1"/>
  <c r="R27" i="32" s="1"/>
  <c r="M221" i="48"/>
  <c r="M30" i="11" s="1"/>
  <c r="R28" i="32" s="1"/>
  <c r="M232" i="48"/>
  <c r="M31" i="11" s="1"/>
  <c r="R29" i="32" s="1"/>
  <c r="M243" i="48"/>
  <c r="M32" i="11" s="1"/>
  <c r="R30" i="32" s="1"/>
  <c r="M254" i="48"/>
  <c r="M33" i="11"/>
  <c r="R31" i="32" s="1"/>
  <c r="M265" i="48"/>
  <c r="M34" i="11" s="1"/>
  <c r="R32" i="32" s="1"/>
  <c r="M276" i="48"/>
  <c r="M35" i="11"/>
  <c r="R33" i="32" s="1"/>
  <c r="M287" i="48"/>
  <c r="M36" i="11" s="1"/>
  <c r="R34" i="32" s="1"/>
  <c r="M298" i="48"/>
  <c r="M37" i="11" s="1"/>
  <c r="R35" i="32" s="1"/>
  <c r="M309" i="48"/>
  <c r="M38" i="11"/>
  <c r="R36" i="32" s="1"/>
  <c r="M320" i="48"/>
  <c r="M39" i="11" s="1"/>
  <c r="R37" i="32" s="1"/>
  <c r="M331" i="48"/>
  <c r="M40" i="11"/>
  <c r="R38" i="32" s="1"/>
  <c r="M8" i="48"/>
  <c r="M8" i="11" s="1"/>
  <c r="R6" i="32" s="1"/>
  <c r="M30" i="48"/>
  <c r="M10" i="11" s="1"/>
  <c r="R8" i="32" s="1"/>
  <c r="M41" i="48"/>
  <c r="M52"/>
  <c r="M12" i="11" s="1"/>
  <c r="R10" i="32" s="1"/>
  <c r="M63" i="48"/>
  <c r="M13" i="11" s="1"/>
  <c r="M74" i="48"/>
  <c r="M14" i="11" s="1"/>
  <c r="R12" i="32" s="1"/>
  <c r="M85" i="48"/>
  <c r="M15" i="11"/>
  <c r="R13" i="32" s="1"/>
  <c r="M96" i="48"/>
  <c r="M16" i="11" s="1"/>
  <c r="R14" i="32" s="1"/>
  <c r="L177" i="48"/>
  <c r="L188"/>
  <c r="L27" i="11"/>
  <c r="Q25" i="32" s="1"/>
  <c r="L199" i="48"/>
  <c r="L28" i="11"/>
  <c r="Q26" i="32" s="1"/>
  <c r="L210" i="48"/>
  <c r="L29" i="11" s="1"/>
  <c r="Q27" i="32" s="1"/>
  <c r="L221" i="48"/>
  <c r="L30" i="11"/>
  <c r="Q28" i="32" s="1"/>
  <c r="L232" i="48"/>
  <c r="L31" i="11" s="1"/>
  <c r="Q29" i="32" s="1"/>
  <c r="L243" i="48"/>
  <c r="L32" i="11" s="1"/>
  <c r="Q30" i="32" s="1"/>
  <c r="L254" i="48"/>
  <c r="L33" i="11"/>
  <c r="Q31" i="32" s="1"/>
  <c r="L265" i="48"/>
  <c r="L34" i="11" s="1"/>
  <c r="Q32" i="32" s="1"/>
  <c r="L276" i="48"/>
  <c r="L35" i="11"/>
  <c r="Q33" i="32" s="1"/>
  <c r="L287" i="48"/>
  <c r="L36" i="11"/>
  <c r="Q34" i="32" s="1"/>
  <c r="L298" i="48"/>
  <c r="L37" i="11" s="1"/>
  <c r="Q35" i="32" s="1"/>
  <c r="L309" i="48"/>
  <c r="L38" i="11" s="1"/>
  <c r="Q36" i="32" s="1"/>
  <c r="L320" i="48"/>
  <c r="L39" i="11" s="1"/>
  <c r="Q37" i="32" s="1"/>
  <c r="L331" i="48"/>
  <c r="L40" i="11" s="1"/>
  <c r="Q38" i="32" s="1"/>
  <c r="L8" i="48"/>
  <c r="L8" i="11" s="1"/>
  <c r="Q6" i="32" s="1"/>
  <c r="L19" i="48"/>
  <c r="L9" i="11" s="1"/>
  <c r="Q7" i="32" s="1"/>
  <c r="L30" i="48"/>
  <c r="L10" i="11" s="1"/>
  <c r="Q8" i="32" s="1"/>
  <c r="L41" i="48"/>
  <c r="L11" i="11" s="1"/>
  <c r="Q9" i="32" s="1"/>
  <c r="L52" i="48"/>
  <c r="L12" i="11" s="1"/>
  <c r="Q10" i="32" s="1"/>
  <c r="L63" i="48"/>
  <c r="L13" i="11" s="1"/>
  <c r="Q11" i="32" s="1"/>
  <c r="L74" i="48"/>
  <c r="L14" i="11" s="1"/>
  <c r="Q12" i="32" s="1"/>
  <c r="L85" i="48"/>
  <c r="L15" i="11" s="1"/>
  <c r="Q13" i="32" s="1"/>
  <c r="L96" i="48"/>
  <c r="L16" i="11" s="1"/>
  <c r="Q14" i="32" s="1"/>
  <c r="D177" i="48"/>
  <c r="D26" i="11"/>
  <c r="D188" i="48"/>
  <c r="D27" i="11" s="1"/>
  <c r="D199" i="48"/>
  <c r="D28" i="11"/>
  <c r="D210" i="48"/>
  <c r="D29" i="11" s="1"/>
  <c r="D221" i="48"/>
  <c r="D30" i="11" s="1"/>
  <c r="D232" i="48"/>
  <c r="D243"/>
  <c r="D32" i="11"/>
  <c r="D254" i="48"/>
  <c r="D33" i="11" s="1"/>
  <c r="D265" i="48"/>
  <c r="D34" i="11"/>
  <c r="D276" i="48"/>
  <c r="D35" i="11" s="1"/>
  <c r="D287" i="48"/>
  <c r="D36" i="11" s="1"/>
  <c r="D309" i="48"/>
  <c r="D320"/>
  <c r="D331"/>
  <c r="D8"/>
  <c r="D19"/>
  <c r="D9" i="11" s="1"/>
  <c r="D30" i="48"/>
  <c r="D10" i="11" s="1"/>
  <c r="D41" i="48"/>
  <c r="D11" i="11" s="1"/>
  <c r="D52" i="48"/>
  <c r="D12" i="11" s="1"/>
  <c r="D63" i="48"/>
  <c r="D13" i="11" s="1"/>
  <c r="D74" i="48"/>
  <c r="D14" i="11" s="1"/>
  <c r="D85" i="48"/>
  <c r="D15" i="11" s="1"/>
  <c r="D96" i="48"/>
  <c r="D16" i="11" s="1"/>
  <c r="C40"/>
  <c r="C39"/>
  <c r="C36"/>
  <c r="C35"/>
  <c r="C34"/>
  <c r="C31"/>
  <c r="C30"/>
  <c r="C28"/>
  <c r="C27"/>
  <c r="C26"/>
  <c r="C16"/>
  <c r="C15"/>
  <c r="C14"/>
  <c r="C10"/>
  <c r="M136" i="46"/>
  <c r="M49" i="9"/>
  <c r="R48" i="29" s="1"/>
  <c r="L136" i="46"/>
  <c r="L49" i="9" s="1"/>
  <c r="Q48" i="29" s="1"/>
  <c r="M134" i="46"/>
  <c r="M48" i="9" s="1"/>
  <c r="R47" i="29" s="1"/>
  <c r="L134" i="46"/>
  <c r="L48" i="9" s="1"/>
  <c r="Q47" i="29" s="1"/>
  <c r="M130" i="46"/>
  <c r="M47" i="9" s="1"/>
  <c r="R46" i="29" s="1"/>
  <c r="L130" i="46"/>
  <c r="L47" i="9" s="1"/>
  <c r="Q46" i="29" s="1"/>
  <c r="M127" i="46"/>
  <c r="M46" i="9" s="1"/>
  <c r="R45" i="29" s="1"/>
  <c r="L127" i="46"/>
  <c r="L46" i="9"/>
  <c r="Q45" i="29" s="1"/>
  <c r="M124" i="46"/>
  <c r="L124"/>
  <c r="M119"/>
  <c r="M43" i="9"/>
  <c r="R42" i="29" s="1"/>
  <c r="L119" i="46"/>
  <c r="L43" i="9" s="1"/>
  <c r="Q42" i="29" s="1"/>
  <c r="M113" i="46"/>
  <c r="M42" i="9"/>
  <c r="R41" i="29" s="1"/>
  <c r="L113" i="46"/>
  <c r="L42" i="9" s="1"/>
  <c r="Q41" i="29" s="1"/>
  <c r="M104" i="46"/>
  <c r="M39" i="9" s="1"/>
  <c r="R38" i="29" s="1"/>
  <c r="L104" i="46"/>
  <c r="L39" i="9" s="1"/>
  <c r="Q38" i="29" s="1"/>
  <c r="M97" i="46"/>
  <c r="M37" i="9"/>
  <c r="R36" i="29" s="1"/>
  <c r="L97" i="46"/>
  <c r="L37" i="9" s="1"/>
  <c r="Q36" i="29" s="1"/>
  <c r="M87" i="46"/>
  <c r="M35" i="9"/>
  <c r="R34" i="29" s="1"/>
  <c r="L87" i="46"/>
  <c r="M81"/>
  <c r="M33" i="9" s="1"/>
  <c r="R32" i="29" s="1"/>
  <c r="L81" i="46"/>
  <c r="L33" i="9" s="1"/>
  <c r="Q32" i="29" s="1"/>
  <c r="M77" i="46"/>
  <c r="M31" i="9" s="1"/>
  <c r="R30" i="29" s="1"/>
  <c r="L77" i="46"/>
  <c r="L31" i="9" s="1"/>
  <c r="I136" i="46"/>
  <c r="I49" i="9"/>
  <c r="H136" i="46"/>
  <c r="H49" i="9"/>
  <c r="G136" i="46"/>
  <c r="G49" i="9"/>
  <c r="F136" i="46"/>
  <c r="F49" i="9"/>
  <c r="E136" i="46"/>
  <c r="E49" i="9"/>
  <c r="D136" i="46"/>
  <c r="D49" i="9"/>
  <c r="I134" i="46"/>
  <c r="I48" i="9" s="1"/>
  <c r="H134" i="46"/>
  <c r="H48" i="9"/>
  <c r="G134" i="46"/>
  <c r="G48" i="9"/>
  <c r="F134" i="46"/>
  <c r="F48" i="9"/>
  <c r="E134" i="46"/>
  <c r="E48" i="9" s="1"/>
  <c r="D134" i="46"/>
  <c r="D48" i="9" s="1"/>
  <c r="I130" i="46"/>
  <c r="I47" i="9" s="1"/>
  <c r="H130" i="46"/>
  <c r="H47" i="9"/>
  <c r="G130" i="46"/>
  <c r="G47" i="9" s="1"/>
  <c r="F130" i="46"/>
  <c r="F47" i="9"/>
  <c r="E130" i="46"/>
  <c r="E47" i="9" s="1"/>
  <c r="D130" i="46"/>
  <c r="D47" i="9" s="1"/>
  <c r="I127" i="46"/>
  <c r="H127"/>
  <c r="H46" i="9"/>
  <c r="G127" i="46"/>
  <c r="G46" i="9" s="1"/>
  <c r="F127" i="46"/>
  <c r="F46" i="9"/>
  <c r="E127" i="46"/>
  <c r="E46" i="9" s="1"/>
  <c r="D127" i="46"/>
  <c r="D46" i="9"/>
  <c r="I124" i="46"/>
  <c r="I45" i="9" s="1"/>
  <c r="H124" i="46"/>
  <c r="H123" s="1"/>
  <c r="G124"/>
  <c r="F124"/>
  <c r="F45" i="9" s="1"/>
  <c r="E124" i="46"/>
  <c r="E45" i="9" s="1"/>
  <c r="D124" i="46"/>
  <c r="I119"/>
  <c r="I43" i="9"/>
  <c r="H119" i="46"/>
  <c r="H43" i="9" s="1"/>
  <c r="G119" i="46"/>
  <c r="G43" i="9"/>
  <c r="F119" i="46"/>
  <c r="F43" i="9" s="1"/>
  <c r="E119" i="46"/>
  <c r="E43" i="9"/>
  <c r="D119" i="46"/>
  <c r="D43" i="9" s="1"/>
  <c r="H113" i="46"/>
  <c r="H42" i="9" s="1"/>
  <c r="G113" i="46"/>
  <c r="G42" i="9"/>
  <c r="F113" i="46"/>
  <c r="E113"/>
  <c r="E42" i="9"/>
  <c r="D113" i="46"/>
  <c r="H109"/>
  <c r="H41" i="9"/>
  <c r="G109" i="46"/>
  <c r="G41" i="9"/>
  <c r="F109" i="46"/>
  <c r="F41" i="9"/>
  <c r="E109" i="46"/>
  <c r="D109"/>
  <c r="D41" i="9"/>
  <c r="I104" i="46"/>
  <c r="I39" i="9" s="1"/>
  <c r="H104" i="46"/>
  <c r="H39" i="9"/>
  <c r="G104" i="46"/>
  <c r="G39" i="9" s="1"/>
  <c r="F104" i="46"/>
  <c r="F39" i="9"/>
  <c r="E104" i="46"/>
  <c r="E39" i="9" s="1"/>
  <c r="D104" i="46"/>
  <c r="D39" i="9" s="1"/>
  <c r="I97" i="46"/>
  <c r="I37" i="9" s="1"/>
  <c r="H97" i="46"/>
  <c r="H37" i="9"/>
  <c r="G97" i="46"/>
  <c r="G37" i="9" s="1"/>
  <c r="F97" i="46"/>
  <c r="F37" i="9"/>
  <c r="E97" i="46"/>
  <c r="D97"/>
  <c r="D37" i="9"/>
  <c r="I87" i="46"/>
  <c r="H87"/>
  <c r="H35" i="9"/>
  <c r="G87" i="46"/>
  <c r="G35" i="9"/>
  <c r="F87" i="46"/>
  <c r="F35" i="9"/>
  <c r="E87" i="46"/>
  <c r="E35" i="9" s="1"/>
  <c r="D87" i="46"/>
  <c r="D86" s="1"/>
  <c r="H81"/>
  <c r="H33" i="9"/>
  <c r="G81" i="46"/>
  <c r="G33" i="9"/>
  <c r="F81" i="46"/>
  <c r="F33" i="9"/>
  <c r="E81" i="46"/>
  <c r="E33" i="9" s="1"/>
  <c r="D81" i="46"/>
  <c r="D76" s="1"/>
  <c r="H77"/>
  <c r="G77"/>
  <c r="G31" i="9"/>
  <c r="F77" i="46"/>
  <c r="F31" i="9" s="1"/>
  <c r="E77" i="46"/>
  <c r="D77"/>
  <c r="D31" i="9"/>
  <c r="M67" i="46"/>
  <c r="M26" i="9" s="1"/>
  <c r="R25" i="29" s="1"/>
  <c r="L67" i="46"/>
  <c r="L26" i="9"/>
  <c r="Q25" i="29" s="1"/>
  <c r="M65" i="46"/>
  <c r="M25" i="9" s="1"/>
  <c r="R24" i="29" s="1"/>
  <c r="L65" i="46"/>
  <c r="L25" i="9" s="1"/>
  <c r="Q24" i="29" s="1"/>
  <c r="L61" i="46"/>
  <c r="L24" i="9" s="1"/>
  <c r="Q23" i="29" s="1"/>
  <c r="M58" i="46"/>
  <c r="M23" i="9"/>
  <c r="R22" i="29" s="1"/>
  <c r="L58" i="46"/>
  <c r="L23" i="9" s="1"/>
  <c r="Q22" i="29" s="1"/>
  <c r="M55" i="46"/>
  <c r="L55"/>
  <c r="L22" i="9" s="1"/>
  <c r="Q21" i="29" s="1"/>
  <c r="M50" i="46"/>
  <c r="M20" i="9" s="1"/>
  <c r="R19" i="29" s="1"/>
  <c r="L50" i="46"/>
  <c r="L20" i="9"/>
  <c r="Q19" i="29" s="1"/>
  <c r="M44" i="46"/>
  <c r="M19" i="9" s="1"/>
  <c r="R18" i="29" s="1"/>
  <c r="L44" i="46"/>
  <c r="L19" i="9" s="1"/>
  <c r="Q18" i="29" s="1"/>
  <c r="M35" i="46"/>
  <c r="M16" i="9" s="1"/>
  <c r="R15" i="29" s="1"/>
  <c r="L35" i="46"/>
  <c r="L16" i="9"/>
  <c r="Q15" i="29" s="1"/>
  <c r="M28" i="46"/>
  <c r="L28"/>
  <c r="L14" i="9" s="1"/>
  <c r="Q13" i="29" s="1"/>
  <c r="M18" i="46"/>
  <c r="M12" i="9" s="1"/>
  <c r="R11" i="29" s="1"/>
  <c r="L18" i="46"/>
  <c r="L17" s="1"/>
  <c r="M12"/>
  <c r="M10" i="9" s="1"/>
  <c r="R9" i="29" s="1"/>
  <c r="L12" i="46"/>
  <c r="L10" i="9" s="1"/>
  <c r="M8" i="46"/>
  <c r="L8"/>
  <c r="H67"/>
  <c r="H26" i="9" s="1"/>
  <c r="G67" i="46"/>
  <c r="G26" i="9"/>
  <c r="F67" i="46"/>
  <c r="F26" i="9" s="1"/>
  <c r="E67" i="46"/>
  <c r="E26" i="9"/>
  <c r="D67" i="46"/>
  <c r="D26" i="9"/>
  <c r="I65" i="46"/>
  <c r="I25" i="9"/>
  <c r="H65" i="46"/>
  <c r="H25" i="9"/>
  <c r="G65" i="46"/>
  <c r="G25" i="9"/>
  <c r="F65" i="46"/>
  <c r="F25" i="9"/>
  <c r="E65" i="46"/>
  <c r="E25" i="9" s="1"/>
  <c r="D65" i="46"/>
  <c r="D25" i="9" s="1"/>
  <c r="I61" i="46"/>
  <c r="I24" i="9"/>
  <c r="H61" i="46"/>
  <c r="H24" i="9"/>
  <c r="G61" i="46"/>
  <c r="G24" i="9"/>
  <c r="F61" i="46"/>
  <c r="F24" i="9"/>
  <c r="E61" i="46"/>
  <c r="E24" i="9"/>
  <c r="D61" i="46"/>
  <c r="D24" i="9"/>
  <c r="I58" i="46"/>
  <c r="I23" i="9" s="1"/>
  <c r="H58" i="46"/>
  <c r="H23" i="9"/>
  <c r="G58" i="46"/>
  <c r="G23" i="9" s="1"/>
  <c r="F58" i="46"/>
  <c r="F23" i="9"/>
  <c r="E58" i="46"/>
  <c r="E23" i="9" s="1"/>
  <c r="D58" i="46"/>
  <c r="D23" i="9"/>
  <c r="I55" i="46"/>
  <c r="I54" s="1"/>
  <c r="H55"/>
  <c r="H54" s="1"/>
  <c r="G55"/>
  <c r="F55"/>
  <c r="E55"/>
  <c r="D55"/>
  <c r="D54" s="1"/>
  <c r="I50"/>
  <c r="I20" i="9"/>
  <c r="H50" i="46"/>
  <c r="G50"/>
  <c r="G20" i="9"/>
  <c r="F50" i="46"/>
  <c r="E50"/>
  <c r="E20" i="9"/>
  <c r="D50" i="46"/>
  <c r="D20" i="9"/>
  <c r="I44" i="46"/>
  <c r="H44"/>
  <c r="H19" i="9"/>
  <c r="G44" i="46"/>
  <c r="G19" i="9" s="1"/>
  <c r="F44" i="46"/>
  <c r="F19" i="9"/>
  <c r="E44" i="46"/>
  <c r="E19" i="9" s="1"/>
  <c r="D44" i="46"/>
  <c r="D19" i="9" s="1"/>
  <c r="I40" i="46"/>
  <c r="I18" i="9" s="1"/>
  <c r="H40" i="46"/>
  <c r="H18" i="9" s="1"/>
  <c r="G40" i="46"/>
  <c r="F40"/>
  <c r="F18" i="9"/>
  <c r="E40" i="46"/>
  <c r="D40"/>
  <c r="D18" i="9"/>
  <c r="I35" i="46"/>
  <c r="H35"/>
  <c r="H16" i="9"/>
  <c r="G35" i="46"/>
  <c r="G16" i="9" s="1"/>
  <c r="F35" i="46"/>
  <c r="F16" i="9"/>
  <c r="E35" i="46"/>
  <c r="E16" i="9" s="1"/>
  <c r="D35" i="46"/>
  <c r="D16" i="9"/>
  <c r="H28" i="46"/>
  <c r="H14" i="9"/>
  <c r="G28" i="46"/>
  <c r="G14" i="9"/>
  <c r="F28" i="46"/>
  <c r="F14" i="9"/>
  <c r="E28" i="46"/>
  <c r="E14" i="9" s="1"/>
  <c r="D28" i="46"/>
  <c r="D14" i="9" s="1"/>
  <c r="H18" i="46"/>
  <c r="H12" i="9"/>
  <c r="G18" i="46"/>
  <c r="G12" i="9"/>
  <c r="F18" i="46"/>
  <c r="F17" s="1"/>
  <c r="F12" i="9"/>
  <c r="E18" i="46"/>
  <c r="E12" i="9" s="1"/>
  <c r="D18" i="46"/>
  <c r="D12" i="9"/>
  <c r="I12" i="46"/>
  <c r="I10" i="9"/>
  <c r="H12" i="46"/>
  <c r="H10" i="9"/>
  <c r="G12" i="46"/>
  <c r="G10" i="9"/>
  <c r="F12" i="46"/>
  <c r="F10" i="9"/>
  <c r="E12" i="46"/>
  <c r="E10" i="9" s="1"/>
  <c r="D12" i="46"/>
  <c r="D10" i="9" s="1"/>
  <c r="I8" i="46"/>
  <c r="H8"/>
  <c r="H8" i="9"/>
  <c r="G8" i="46"/>
  <c r="G8" i="9" s="1"/>
  <c r="F8" i="46"/>
  <c r="F7" s="1"/>
  <c r="F8" i="9"/>
  <c r="E8" i="46"/>
  <c r="E8" i="9"/>
  <c r="D8" i="46"/>
  <c r="D8" i="9"/>
  <c r="A346" i="48"/>
  <c r="J341"/>
  <c r="K341"/>
  <c r="J340"/>
  <c r="K340" s="1"/>
  <c r="J339"/>
  <c r="K339"/>
  <c r="J338"/>
  <c r="K338" s="1"/>
  <c r="J337"/>
  <c r="K337"/>
  <c r="J336"/>
  <c r="K336" s="1"/>
  <c r="J335"/>
  <c r="K335"/>
  <c r="J334"/>
  <c r="K334" s="1"/>
  <c r="J333"/>
  <c r="K333"/>
  <c r="J332"/>
  <c r="K332" s="1"/>
  <c r="J330"/>
  <c r="K330"/>
  <c r="J329"/>
  <c r="K329" s="1"/>
  <c r="J328"/>
  <c r="K328"/>
  <c r="J327"/>
  <c r="K327" s="1"/>
  <c r="J326"/>
  <c r="K326"/>
  <c r="J325"/>
  <c r="K325" s="1"/>
  <c r="J324"/>
  <c r="K324"/>
  <c r="J323"/>
  <c r="K323" s="1"/>
  <c r="J322"/>
  <c r="K322"/>
  <c r="J321"/>
  <c r="K321" s="1"/>
  <c r="J319"/>
  <c r="K319" s="1"/>
  <c r="J318"/>
  <c r="K318" s="1"/>
  <c r="J317"/>
  <c r="K317"/>
  <c r="J316"/>
  <c r="K316" s="1"/>
  <c r="J315"/>
  <c r="K315"/>
  <c r="J314"/>
  <c r="K314" s="1"/>
  <c r="J313"/>
  <c r="K313"/>
  <c r="J312"/>
  <c r="K312" s="1"/>
  <c r="J311"/>
  <c r="K311" s="1"/>
  <c r="J310"/>
  <c r="K310" s="1"/>
  <c r="J308"/>
  <c r="K308" s="1"/>
  <c r="J307"/>
  <c r="K307" s="1"/>
  <c r="J306"/>
  <c r="K306"/>
  <c r="J305"/>
  <c r="K305" s="1"/>
  <c r="J304"/>
  <c r="K304"/>
  <c r="J303"/>
  <c r="K303" s="1"/>
  <c r="J302"/>
  <c r="K302" s="1"/>
  <c r="J301"/>
  <c r="K301" s="1"/>
  <c r="J300"/>
  <c r="K300" s="1"/>
  <c r="J299"/>
  <c r="K299" s="1"/>
  <c r="J298"/>
  <c r="K298"/>
  <c r="J297"/>
  <c r="K297" s="1"/>
  <c r="J296"/>
  <c r="K296"/>
  <c r="J295"/>
  <c r="K295"/>
  <c r="J294"/>
  <c r="K294"/>
  <c r="J293"/>
  <c r="K293"/>
  <c r="J292"/>
  <c r="K292"/>
  <c r="J291"/>
  <c r="K291"/>
  <c r="J290"/>
  <c r="K290"/>
  <c r="J289"/>
  <c r="K289"/>
  <c r="J288"/>
  <c r="K288"/>
  <c r="J286"/>
  <c r="K286"/>
  <c r="J285"/>
  <c r="K285"/>
  <c r="J284"/>
  <c r="K284"/>
  <c r="J283"/>
  <c r="K283"/>
  <c r="J282"/>
  <c r="K282"/>
  <c r="J281"/>
  <c r="K281"/>
  <c r="J280"/>
  <c r="K280"/>
  <c r="J279"/>
  <c r="K279"/>
  <c r="J278"/>
  <c r="K278"/>
  <c r="J277"/>
  <c r="K277"/>
  <c r="J275"/>
  <c r="K275"/>
  <c r="J274"/>
  <c r="K274"/>
  <c r="J273"/>
  <c r="K273"/>
  <c r="J272"/>
  <c r="K272"/>
  <c r="J271"/>
  <c r="K271"/>
  <c r="J270"/>
  <c r="K270"/>
  <c r="J269"/>
  <c r="K269"/>
  <c r="J268"/>
  <c r="K268"/>
  <c r="J267"/>
  <c r="K267"/>
  <c r="J266"/>
  <c r="K266"/>
  <c r="J264"/>
  <c r="K264"/>
  <c r="J263"/>
  <c r="K263" s="1"/>
  <c r="J262"/>
  <c r="K262"/>
  <c r="J261"/>
  <c r="K261" s="1"/>
  <c r="J260"/>
  <c r="K260"/>
  <c r="J259"/>
  <c r="K259" s="1"/>
  <c r="J258"/>
  <c r="K258"/>
  <c r="J257"/>
  <c r="K257" s="1"/>
  <c r="J256"/>
  <c r="K256"/>
  <c r="J255"/>
  <c r="K255" s="1"/>
  <c r="J253"/>
  <c r="K253"/>
  <c r="J252"/>
  <c r="K252" s="1"/>
  <c r="J251"/>
  <c r="K251"/>
  <c r="J250"/>
  <c r="K250" s="1"/>
  <c r="J249"/>
  <c r="K249"/>
  <c r="J248"/>
  <c r="K248" s="1"/>
  <c r="J247"/>
  <c r="K247"/>
  <c r="J246"/>
  <c r="K246" s="1"/>
  <c r="J245"/>
  <c r="K245"/>
  <c r="J244"/>
  <c r="K244" s="1"/>
  <c r="J242"/>
  <c r="K242"/>
  <c r="J241"/>
  <c r="K241" s="1"/>
  <c r="J240"/>
  <c r="K240" s="1"/>
  <c r="J239"/>
  <c r="K239"/>
  <c r="J238"/>
  <c r="K238" s="1"/>
  <c r="J237"/>
  <c r="K237"/>
  <c r="J236"/>
  <c r="K236" s="1"/>
  <c r="J235"/>
  <c r="K235"/>
  <c r="J234"/>
  <c r="K234" s="1"/>
  <c r="J233"/>
  <c r="K233"/>
  <c r="J231"/>
  <c r="K231" s="1"/>
  <c r="J230"/>
  <c r="K230"/>
  <c r="J229"/>
  <c r="K229" s="1"/>
  <c r="J228"/>
  <c r="K228"/>
  <c r="J227"/>
  <c r="K227" s="1"/>
  <c r="J226"/>
  <c r="K226"/>
  <c r="J225"/>
  <c r="K225" s="1"/>
  <c r="J224"/>
  <c r="K224"/>
  <c r="J223"/>
  <c r="K223" s="1"/>
  <c r="J222"/>
  <c r="K222"/>
  <c r="J221"/>
  <c r="J220"/>
  <c r="K220"/>
  <c r="J219"/>
  <c r="K219" s="1"/>
  <c r="J218"/>
  <c r="K218"/>
  <c r="J217"/>
  <c r="K217" s="1"/>
  <c r="J216"/>
  <c r="K216"/>
  <c r="J215"/>
  <c r="K215" s="1"/>
  <c r="J214"/>
  <c r="K214"/>
  <c r="J213"/>
  <c r="K213" s="1"/>
  <c r="J212"/>
  <c r="K212"/>
  <c r="J211"/>
  <c r="K211" s="1"/>
  <c r="J209"/>
  <c r="K209"/>
  <c r="J208"/>
  <c r="K208"/>
  <c r="J207"/>
  <c r="K207"/>
  <c r="J206"/>
  <c r="K206"/>
  <c r="J205"/>
  <c r="K205"/>
  <c r="J204"/>
  <c r="K204"/>
  <c r="J203"/>
  <c r="K203"/>
  <c r="J202"/>
  <c r="K202"/>
  <c r="J201"/>
  <c r="K201"/>
  <c r="J200"/>
  <c r="K200"/>
  <c r="J198"/>
  <c r="K198" s="1"/>
  <c r="J197"/>
  <c r="K197"/>
  <c r="J196"/>
  <c r="K196" s="1"/>
  <c r="J195"/>
  <c r="K195"/>
  <c r="J194"/>
  <c r="K194" s="1"/>
  <c r="J193"/>
  <c r="K193"/>
  <c r="J192"/>
  <c r="K192" s="1"/>
  <c r="J191"/>
  <c r="K191"/>
  <c r="J190"/>
  <c r="K190" s="1"/>
  <c r="J189"/>
  <c r="K189"/>
  <c r="J187"/>
  <c r="K187"/>
  <c r="J186"/>
  <c r="K186" s="1"/>
  <c r="J185"/>
  <c r="K185"/>
  <c r="J184"/>
  <c r="K184" s="1"/>
  <c r="J183"/>
  <c r="K183"/>
  <c r="J182"/>
  <c r="K182" s="1"/>
  <c r="J181"/>
  <c r="K181"/>
  <c r="J180"/>
  <c r="K180" s="1"/>
  <c r="J179"/>
  <c r="K179"/>
  <c r="J178"/>
  <c r="K178" s="1"/>
  <c r="J172"/>
  <c r="K172"/>
  <c r="J171"/>
  <c r="K171" s="1"/>
  <c r="J170"/>
  <c r="K170"/>
  <c r="J169"/>
  <c r="K169" s="1"/>
  <c r="J168"/>
  <c r="K168"/>
  <c r="J167"/>
  <c r="K167" s="1"/>
  <c r="J166"/>
  <c r="K166"/>
  <c r="J165"/>
  <c r="K165" s="1"/>
  <c r="J164"/>
  <c r="K164"/>
  <c r="J163"/>
  <c r="K163" s="1"/>
  <c r="J161"/>
  <c r="K161" s="1"/>
  <c r="J160"/>
  <c r="K160"/>
  <c r="J159"/>
  <c r="K159" s="1"/>
  <c r="J158"/>
  <c r="K158"/>
  <c r="J157"/>
  <c r="K157" s="1"/>
  <c r="J156"/>
  <c r="K156"/>
  <c r="J155"/>
  <c r="K155" s="1"/>
  <c r="J154"/>
  <c r="K154"/>
  <c r="J153"/>
  <c r="K153" s="1"/>
  <c r="J152"/>
  <c r="K152"/>
  <c r="J151"/>
  <c r="J150"/>
  <c r="K150"/>
  <c r="J149"/>
  <c r="K149" s="1"/>
  <c r="J148"/>
  <c r="K148"/>
  <c r="J147"/>
  <c r="K147" s="1"/>
  <c r="J146"/>
  <c r="K146"/>
  <c r="J145"/>
  <c r="K145" s="1"/>
  <c r="J144"/>
  <c r="K144"/>
  <c r="J143"/>
  <c r="K143" s="1"/>
  <c r="J142"/>
  <c r="K142"/>
  <c r="J141"/>
  <c r="K141" s="1"/>
  <c r="J139"/>
  <c r="K139" s="1"/>
  <c r="J138"/>
  <c r="K138"/>
  <c r="J137"/>
  <c r="K137" s="1"/>
  <c r="J136"/>
  <c r="K136"/>
  <c r="J135"/>
  <c r="K135" s="1"/>
  <c r="J134"/>
  <c r="K134"/>
  <c r="J133"/>
  <c r="K133" s="1"/>
  <c r="J132"/>
  <c r="K132"/>
  <c r="J131"/>
  <c r="K131" s="1"/>
  <c r="J130"/>
  <c r="K130"/>
  <c r="J129"/>
  <c r="K129" s="1"/>
  <c r="J128"/>
  <c r="K128"/>
  <c r="J127"/>
  <c r="K127" s="1"/>
  <c r="J126"/>
  <c r="K126"/>
  <c r="J125"/>
  <c r="K125" s="1"/>
  <c r="J124"/>
  <c r="K124"/>
  <c r="J123"/>
  <c r="K123" s="1"/>
  <c r="J122"/>
  <c r="K122"/>
  <c r="J121"/>
  <c r="K121" s="1"/>
  <c r="J120"/>
  <c r="K120"/>
  <c r="J119"/>
  <c r="K119" s="1"/>
  <c r="J117"/>
  <c r="K117" s="1"/>
  <c r="J116"/>
  <c r="K116"/>
  <c r="J115"/>
  <c r="K115" s="1"/>
  <c r="J114"/>
  <c r="K114"/>
  <c r="J113"/>
  <c r="K113" s="1"/>
  <c r="J112"/>
  <c r="K112"/>
  <c r="J111"/>
  <c r="K111" s="1"/>
  <c r="J110"/>
  <c r="K110"/>
  <c r="J109"/>
  <c r="K109" s="1"/>
  <c r="J108"/>
  <c r="K108"/>
  <c r="J107"/>
  <c r="J106"/>
  <c r="K106"/>
  <c r="J105"/>
  <c r="K105" s="1"/>
  <c r="J104"/>
  <c r="K104"/>
  <c r="J103"/>
  <c r="K103" s="1"/>
  <c r="J102"/>
  <c r="K102"/>
  <c r="J101"/>
  <c r="K101" s="1"/>
  <c r="J100"/>
  <c r="K100"/>
  <c r="J99"/>
  <c r="K99" s="1"/>
  <c r="J98"/>
  <c r="K98"/>
  <c r="J97"/>
  <c r="K97" s="1"/>
  <c r="J95"/>
  <c r="K95"/>
  <c r="J94"/>
  <c r="K94" s="1"/>
  <c r="J93"/>
  <c r="K93" s="1"/>
  <c r="J91"/>
  <c r="K91" s="1"/>
  <c r="J90"/>
  <c r="K90" s="1"/>
  <c r="J89"/>
  <c r="K89" s="1"/>
  <c r="J87"/>
  <c r="K87" s="1"/>
  <c r="J86"/>
  <c r="K86" s="1"/>
  <c r="J84"/>
  <c r="K84"/>
  <c r="J83"/>
  <c r="K83" s="1"/>
  <c r="J82"/>
  <c r="K82"/>
  <c r="J81"/>
  <c r="K81" s="1"/>
  <c r="J80"/>
  <c r="K80" s="1"/>
  <c r="J79"/>
  <c r="K79" s="1"/>
  <c r="J78"/>
  <c r="K78" s="1"/>
  <c r="J76"/>
  <c r="K76" s="1"/>
  <c r="J75"/>
  <c r="K75" s="1"/>
  <c r="J73"/>
  <c r="K73"/>
  <c r="J72"/>
  <c r="K72" s="1"/>
  <c r="J71"/>
  <c r="K71"/>
  <c r="J70"/>
  <c r="K70" s="1"/>
  <c r="J69"/>
  <c r="K69" s="1"/>
  <c r="J68"/>
  <c r="K68" s="1"/>
  <c r="J67"/>
  <c r="K67"/>
  <c r="J66"/>
  <c r="K66" s="1"/>
  <c r="J65"/>
  <c r="K65" s="1"/>
  <c r="J64"/>
  <c r="K64" s="1"/>
  <c r="J62"/>
  <c r="K62"/>
  <c r="J61"/>
  <c r="K61" s="1"/>
  <c r="J60"/>
  <c r="K60" s="1"/>
  <c r="J59"/>
  <c r="K59" s="1"/>
  <c r="J58"/>
  <c r="K58" s="1"/>
  <c r="J57"/>
  <c r="K57" s="1"/>
  <c r="J56"/>
  <c r="K56" s="1"/>
  <c r="J55"/>
  <c r="K55" s="1"/>
  <c r="J54"/>
  <c r="K54" s="1"/>
  <c r="J53"/>
  <c r="K53" s="1"/>
  <c r="J51"/>
  <c r="K51"/>
  <c r="J50"/>
  <c r="K50" s="1"/>
  <c r="J49"/>
  <c r="K49" s="1"/>
  <c r="J48"/>
  <c r="K48" s="1"/>
  <c r="J47"/>
  <c r="K47" s="1"/>
  <c r="J46"/>
  <c r="K46" s="1"/>
  <c r="J45"/>
  <c r="K45" s="1"/>
  <c r="J44"/>
  <c r="K44" s="1"/>
  <c r="J43"/>
  <c r="K43" s="1"/>
  <c r="J42"/>
  <c r="K42" s="1"/>
  <c r="J40"/>
  <c r="K40"/>
  <c r="J39"/>
  <c r="K39" s="1"/>
  <c r="J38"/>
  <c r="K38"/>
  <c r="J37"/>
  <c r="K37" s="1"/>
  <c r="J36"/>
  <c r="K36" s="1"/>
  <c r="J35"/>
  <c r="K35" s="1"/>
  <c r="J34"/>
  <c r="K34" s="1"/>
  <c r="J33"/>
  <c r="K33" s="1"/>
  <c r="J32"/>
  <c r="K32"/>
  <c r="J31"/>
  <c r="K31" s="1"/>
  <c r="J29"/>
  <c r="K29"/>
  <c r="J28"/>
  <c r="K28" s="1"/>
  <c r="J27"/>
  <c r="K27"/>
  <c r="J26"/>
  <c r="K26" s="1"/>
  <c r="J25"/>
  <c r="K25" s="1"/>
  <c r="J24"/>
  <c r="K24" s="1"/>
  <c r="J23"/>
  <c r="K23" s="1"/>
  <c r="J22"/>
  <c r="K22" s="1"/>
  <c r="J21"/>
  <c r="K21" s="1"/>
  <c r="J20"/>
  <c r="K20" s="1"/>
  <c r="J18"/>
  <c r="K18"/>
  <c r="J17"/>
  <c r="K17" s="1"/>
  <c r="J16"/>
  <c r="K16" s="1"/>
  <c r="J15"/>
  <c r="K15" s="1"/>
  <c r="J14"/>
  <c r="K14"/>
  <c r="J13"/>
  <c r="K13" s="1"/>
  <c r="J12"/>
  <c r="K12" s="1"/>
  <c r="J11"/>
  <c r="K11" s="1"/>
  <c r="J10"/>
  <c r="K10" s="1"/>
  <c r="J9"/>
  <c r="K9" s="1"/>
  <c r="M3"/>
  <c r="L3"/>
  <c r="K3"/>
  <c r="J3"/>
  <c r="I3"/>
  <c r="H3"/>
  <c r="G3"/>
  <c r="F3"/>
  <c r="E3"/>
  <c r="D3"/>
  <c r="C3"/>
  <c r="X34" i="45"/>
  <c r="B3" i="39" s="1"/>
  <c r="G2" i="21" s="1"/>
  <c r="E9" i="38"/>
  <c r="E8"/>
  <c r="E7"/>
  <c r="B2" i="48"/>
  <c r="A2"/>
  <c r="F340" i="47"/>
  <c r="J176"/>
  <c r="K176" s="1"/>
  <c r="J177"/>
  <c r="K177"/>
  <c r="J178"/>
  <c r="K178" s="1"/>
  <c r="J179"/>
  <c r="K179" s="1"/>
  <c r="J180"/>
  <c r="K180" s="1"/>
  <c r="J181"/>
  <c r="K181" s="1"/>
  <c r="J182"/>
  <c r="K182" s="1"/>
  <c r="J183"/>
  <c r="K183"/>
  <c r="J184"/>
  <c r="K184" s="1"/>
  <c r="J185"/>
  <c r="K185"/>
  <c r="J187"/>
  <c r="K187" s="1"/>
  <c r="J189"/>
  <c r="K189" s="1"/>
  <c r="J191"/>
  <c r="K191" s="1"/>
  <c r="J192"/>
  <c r="K192" s="1"/>
  <c r="J193"/>
  <c r="K193"/>
  <c r="J194"/>
  <c r="K194" s="1"/>
  <c r="J195"/>
  <c r="K195"/>
  <c r="J196"/>
  <c r="K196" s="1"/>
  <c r="J199"/>
  <c r="K199" s="1"/>
  <c r="J200"/>
  <c r="K200" s="1"/>
  <c r="J201"/>
  <c r="K201" s="1"/>
  <c r="J202"/>
  <c r="K202" s="1"/>
  <c r="J203"/>
  <c r="K203"/>
  <c r="J204"/>
  <c r="K204" s="1"/>
  <c r="J205"/>
  <c r="K205"/>
  <c r="J206"/>
  <c r="K206" s="1"/>
  <c r="J207"/>
  <c r="K207"/>
  <c r="J209"/>
  <c r="K209" s="1"/>
  <c r="J210"/>
  <c r="K210" s="1"/>
  <c r="J212"/>
  <c r="K212" s="1"/>
  <c r="J213"/>
  <c r="K213" s="1"/>
  <c r="J214"/>
  <c r="K214" s="1"/>
  <c r="J215"/>
  <c r="K215" s="1"/>
  <c r="J216"/>
  <c r="K216" s="1"/>
  <c r="J218"/>
  <c r="K218" s="1"/>
  <c r="J220"/>
  <c r="K220" s="1"/>
  <c r="J221"/>
  <c r="K221" s="1"/>
  <c r="J222"/>
  <c r="K222" s="1"/>
  <c r="J223"/>
  <c r="K223" s="1"/>
  <c r="J224"/>
  <c r="K224" s="1"/>
  <c r="J225"/>
  <c r="K225" s="1"/>
  <c r="J226"/>
  <c r="K226" s="1"/>
  <c r="J227"/>
  <c r="K227"/>
  <c r="J228"/>
  <c r="K228" s="1"/>
  <c r="J229"/>
  <c r="K229"/>
  <c r="J231"/>
  <c r="K231" s="1"/>
  <c r="J232"/>
  <c r="K232" s="1"/>
  <c r="J233"/>
  <c r="K233" s="1"/>
  <c r="J234"/>
  <c r="K234" s="1"/>
  <c r="J235"/>
  <c r="K235"/>
  <c r="J236"/>
  <c r="K236" s="1"/>
  <c r="J237"/>
  <c r="K237"/>
  <c r="J238"/>
  <c r="K238" s="1"/>
  <c r="J239"/>
  <c r="K239"/>
  <c r="J240"/>
  <c r="K240" s="1"/>
  <c r="J242"/>
  <c r="K242" s="1"/>
  <c r="J243"/>
  <c r="K243" s="1"/>
  <c r="J245"/>
  <c r="K245" s="1"/>
  <c r="J246"/>
  <c r="K246" s="1"/>
  <c r="J247"/>
  <c r="K247"/>
  <c r="J248"/>
  <c r="K248" s="1"/>
  <c r="J249"/>
  <c r="K249"/>
  <c r="J250"/>
  <c r="K250" s="1"/>
  <c r="J251"/>
  <c r="K251"/>
  <c r="J253"/>
  <c r="K253" s="1"/>
  <c r="J254"/>
  <c r="K254" s="1"/>
  <c r="J256"/>
  <c r="K256" s="1"/>
  <c r="J257"/>
  <c r="K257" s="1"/>
  <c r="J258"/>
  <c r="K258" s="1"/>
  <c r="J259"/>
  <c r="K259"/>
  <c r="J260"/>
  <c r="K260" s="1"/>
  <c r="J261"/>
  <c r="K261"/>
  <c r="J262"/>
  <c r="K262" s="1"/>
  <c r="J263"/>
  <c r="K263"/>
  <c r="J264"/>
  <c r="K264" s="1"/>
  <c r="J265"/>
  <c r="K265"/>
  <c r="J266"/>
  <c r="K266" s="1"/>
  <c r="J267"/>
  <c r="K267"/>
  <c r="J268"/>
  <c r="K268" s="1"/>
  <c r="J269"/>
  <c r="K269"/>
  <c r="J270"/>
  <c r="K270" s="1"/>
  <c r="J271"/>
  <c r="K271"/>
  <c r="J272"/>
  <c r="K272" s="1"/>
  <c r="J273"/>
  <c r="K273"/>
  <c r="J274"/>
  <c r="K274" s="1"/>
  <c r="J275"/>
  <c r="K275"/>
  <c r="J276"/>
  <c r="K276" s="1"/>
  <c r="J277"/>
  <c r="K277"/>
  <c r="J278"/>
  <c r="K278" s="1"/>
  <c r="J279"/>
  <c r="K279"/>
  <c r="J280"/>
  <c r="K280" s="1"/>
  <c r="J281"/>
  <c r="K281"/>
  <c r="J282"/>
  <c r="K282" s="1"/>
  <c r="J283"/>
  <c r="K283"/>
  <c r="J284"/>
  <c r="K284" s="1"/>
  <c r="J286"/>
  <c r="K286" s="1"/>
  <c r="J287"/>
  <c r="K287"/>
  <c r="J288"/>
  <c r="K288" s="1"/>
  <c r="J289"/>
  <c r="K289"/>
  <c r="J290"/>
  <c r="K290" s="1"/>
  <c r="J291"/>
  <c r="K291"/>
  <c r="J292"/>
  <c r="K292" s="1"/>
  <c r="J293"/>
  <c r="K293"/>
  <c r="J294"/>
  <c r="K294" s="1"/>
  <c r="J295"/>
  <c r="K295"/>
  <c r="J297"/>
  <c r="K297"/>
  <c r="J298"/>
  <c r="K298" s="1"/>
  <c r="J299"/>
  <c r="K299"/>
  <c r="J300"/>
  <c r="K300" s="1"/>
  <c r="J301"/>
  <c r="K301"/>
  <c r="J302"/>
  <c r="K302" s="1"/>
  <c r="J303"/>
  <c r="K303"/>
  <c r="J304"/>
  <c r="K304" s="1"/>
  <c r="J305"/>
  <c r="K305"/>
  <c r="J306"/>
  <c r="K306" s="1"/>
  <c r="J308"/>
  <c r="K308" s="1"/>
  <c r="J309"/>
  <c r="K309"/>
  <c r="J310"/>
  <c r="K310" s="1"/>
  <c r="J311"/>
  <c r="K311"/>
  <c r="J312"/>
  <c r="K312" s="1"/>
  <c r="J313"/>
  <c r="K313"/>
  <c r="J314"/>
  <c r="K314" s="1"/>
  <c r="J315"/>
  <c r="K315"/>
  <c r="J316"/>
  <c r="K316" s="1"/>
  <c r="J317"/>
  <c r="K317"/>
  <c r="J318"/>
  <c r="K318" s="1"/>
  <c r="J319"/>
  <c r="K319"/>
  <c r="J320"/>
  <c r="K320" s="1"/>
  <c r="J321"/>
  <c r="K321"/>
  <c r="J322"/>
  <c r="K322" s="1"/>
  <c r="J323"/>
  <c r="K323"/>
  <c r="J324"/>
  <c r="K324" s="1"/>
  <c r="J325"/>
  <c r="K325"/>
  <c r="J326"/>
  <c r="K326" s="1"/>
  <c r="J327"/>
  <c r="K327"/>
  <c r="J328"/>
  <c r="K328" s="1"/>
  <c r="J330"/>
  <c r="K330" s="1"/>
  <c r="J331"/>
  <c r="K331"/>
  <c r="J332"/>
  <c r="K332" s="1"/>
  <c r="J333"/>
  <c r="K333"/>
  <c r="J334"/>
  <c r="K334" s="1"/>
  <c r="J335"/>
  <c r="K335"/>
  <c r="J336"/>
  <c r="K336" s="1"/>
  <c r="J337"/>
  <c r="K337"/>
  <c r="J338"/>
  <c r="K338" s="1"/>
  <c r="J339"/>
  <c r="K339"/>
  <c r="J8"/>
  <c r="K8"/>
  <c r="J9"/>
  <c r="K9" s="1"/>
  <c r="J10"/>
  <c r="K10"/>
  <c r="J11"/>
  <c r="K11" s="1"/>
  <c r="J12"/>
  <c r="K12"/>
  <c r="J13"/>
  <c r="K13" s="1"/>
  <c r="J14"/>
  <c r="K14"/>
  <c r="J15"/>
  <c r="K15" s="1"/>
  <c r="J16"/>
  <c r="K16"/>
  <c r="J17"/>
  <c r="K17" s="1"/>
  <c r="J19"/>
  <c r="K19" s="1"/>
  <c r="J20"/>
  <c r="K20" s="1"/>
  <c r="J21"/>
  <c r="K21" s="1"/>
  <c r="J22"/>
  <c r="K22" s="1"/>
  <c r="J23"/>
  <c r="K23" s="1"/>
  <c r="J24"/>
  <c r="K24"/>
  <c r="J25"/>
  <c r="K25" s="1"/>
  <c r="J26"/>
  <c r="K26"/>
  <c r="J27"/>
  <c r="K27" s="1"/>
  <c r="J28"/>
  <c r="K28"/>
  <c r="J31"/>
  <c r="K31" s="1"/>
  <c r="J32"/>
  <c r="K32" s="1"/>
  <c r="J33"/>
  <c r="K33" s="1"/>
  <c r="J34"/>
  <c r="K34" s="1"/>
  <c r="J35"/>
  <c r="K35" s="1"/>
  <c r="J36"/>
  <c r="K36" s="1"/>
  <c r="J37"/>
  <c r="K37" s="1"/>
  <c r="J38"/>
  <c r="K38"/>
  <c r="J39"/>
  <c r="K39" s="1"/>
  <c r="J41"/>
  <c r="K41" s="1"/>
  <c r="J42"/>
  <c r="K42"/>
  <c r="J43"/>
  <c r="K43" s="1"/>
  <c r="J44"/>
  <c r="K44" s="1"/>
  <c r="J45"/>
  <c r="K45" s="1"/>
  <c r="J46"/>
  <c r="K46" s="1"/>
  <c r="J47"/>
  <c r="K47" s="1"/>
  <c r="J48"/>
  <c r="K48"/>
  <c r="J49"/>
  <c r="K49" s="1"/>
  <c r="J50"/>
  <c r="K50"/>
  <c r="J52"/>
  <c r="K52" s="1"/>
  <c r="J53"/>
  <c r="K53" s="1"/>
  <c r="J54"/>
  <c r="K54" s="1"/>
  <c r="J55"/>
  <c r="K55" s="1"/>
  <c r="J56"/>
  <c r="K56" s="1"/>
  <c r="J57"/>
  <c r="K57" s="1"/>
  <c r="J58"/>
  <c r="K58" s="1"/>
  <c r="J59"/>
  <c r="K59" s="1"/>
  <c r="J60"/>
  <c r="K60"/>
  <c r="J61"/>
  <c r="K61" s="1"/>
  <c r="J63"/>
  <c r="K63" s="1"/>
  <c r="J64"/>
  <c r="K64" s="1"/>
  <c r="J65"/>
  <c r="K65" s="1"/>
  <c r="J66"/>
  <c r="K66" s="1"/>
  <c r="J67"/>
  <c r="K67" s="1"/>
  <c r="J68"/>
  <c r="K68"/>
  <c r="J69"/>
  <c r="K69" s="1"/>
  <c r="J70"/>
  <c r="K70"/>
  <c r="J71"/>
  <c r="K71" s="1"/>
  <c r="J72"/>
  <c r="K72"/>
  <c r="J74"/>
  <c r="K74" s="1"/>
  <c r="J75"/>
  <c r="K75" s="1"/>
  <c r="J76"/>
  <c r="K76" s="1"/>
  <c r="J77"/>
  <c r="K77" s="1"/>
  <c r="J78"/>
  <c r="K78" s="1"/>
  <c r="J79"/>
  <c r="K79" s="1"/>
  <c r="J80"/>
  <c r="K80"/>
  <c r="J81"/>
  <c r="K81" s="1"/>
  <c r="J82"/>
  <c r="K82"/>
  <c r="J83"/>
  <c r="K83" s="1"/>
  <c r="J85"/>
  <c r="K85" s="1"/>
  <c r="J86"/>
  <c r="K86" s="1"/>
  <c r="J87"/>
  <c r="K87" s="1"/>
  <c r="J88"/>
  <c r="K88"/>
  <c r="J89"/>
  <c r="K89" s="1"/>
  <c r="J90"/>
  <c r="K90" s="1"/>
  <c r="J91"/>
  <c r="K91" s="1"/>
  <c r="J92"/>
  <c r="K92" s="1"/>
  <c r="J93"/>
  <c r="K93" s="1"/>
  <c r="J94"/>
  <c r="K94"/>
  <c r="J96"/>
  <c r="K96"/>
  <c r="J97"/>
  <c r="K97" s="1"/>
  <c r="J98"/>
  <c r="K98"/>
  <c r="J99"/>
  <c r="K99" s="1"/>
  <c r="J100"/>
  <c r="K100"/>
  <c r="J101"/>
  <c r="K101" s="1"/>
  <c r="J102"/>
  <c r="K102"/>
  <c r="J103"/>
  <c r="K103" s="1"/>
  <c r="J104"/>
  <c r="K104"/>
  <c r="J105"/>
  <c r="K105" s="1"/>
  <c r="J107"/>
  <c r="K107" s="1"/>
  <c r="J108"/>
  <c r="K108"/>
  <c r="J109"/>
  <c r="K109" s="1"/>
  <c r="J110"/>
  <c r="K110"/>
  <c r="J111"/>
  <c r="K111" s="1"/>
  <c r="J112"/>
  <c r="K112"/>
  <c r="J113"/>
  <c r="K113" s="1"/>
  <c r="J114"/>
  <c r="K114"/>
  <c r="J115"/>
  <c r="K115" s="1"/>
  <c r="J116"/>
  <c r="K116"/>
  <c r="J118"/>
  <c r="K118"/>
  <c r="J119"/>
  <c r="K119" s="1"/>
  <c r="J120"/>
  <c r="K120"/>
  <c r="J121"/>
  <c r="K121" s="1"/>
  <c r="J122"/>
  <c r="K122"/>
  <c r="J123"/>
  <c r="K123" s="1"/>
  <c r="J124"/>
  <c r="K124"/>
  <c r="J125"/>
  <c r="K125" s="1"/>
  <c r="J126"/>
  <c r="K126"/>
  <c r="J127"/>
  <c r="K127" s="1"/>
  <c r="J129"/>
  <c r="K129" s="1"/>
  <c r="J130"/>
  <c r="K130"/>
  <c r="J131"/>
  <c r="K131" s="1"/>
  <c r="J132"/>
  <c r="K132"/>
  <c r="J133"/>
  <c r="K133" s="1"/>
  <c r="J134"/>
  <c r="K134"/>
  <c r="J135"/>
  <c r="K135" s="1"/>
  <c r="J136"/>
  <c r="K136"/>
  <c r="J137"/>
  <c r="K137" s="1"/>
  <c r="J138"/>
  <c r="K138"/>
  <c r="J140"/>
  <c r="K140"/>
  <c r="J141"/>
  <c r="K141" s="1"/>
  <c r="J142"/>
  <c r="K142"/>
  <c r="J143"/>
  <c r="K143" s="1"/>
  <c r="J144"/>
  <c r="K144"/>
  <c r="J145"/>
  <c r="K145" s="1"/>
  <c r="J146"/>
  <c r="K146"/>
  <c r="J147"/>
  <c r="K147" s="1"/>
  <c r="J148"/>
  <c r="K148"/>
  <c r="J149"/>
  <c r="K149" s="1"/>
  <c r="J151"/>
  <c r="K151" s="1"/>
  <c r="J152"/>
  <c r="K152"/>
  <c r="J153"/>
  <c r="K153" s="1"/>
  <c r="J154"/>
  <c r="K154"/>
  <c r="J155"/>
  <c r="K155" s="1"/>
  <c r="J156"/>
  <c r="K156"/>
  <c r="J157"/>
  <c r="K157" s="1"/>
  <c r="J158"/>
  <c r="K158"/>
  <c r="J159"/>
  <c r="K159" s="1"/>
  <c r="J160"/>
  <c r="K160"/>
  <c r="J162"/>
  <c r="K162"/>
  <c r="J163"/>
  <c r="K163" s="1"/>
  <c r="J164"/>
  <c r="K164"/>
  <c r="J165"/>
  <c r="K165" s="1"/>
  <c r="J166"/>
  <c r="K166"/>
  <c r="J167"/>
  <c r="K167" s="1"/>
  <c r="J168"/>
  <c r="K168"/>
  <c r="J169"/>
  <c r="K169" s="1"/>
  <c r="J170"/>
  <c r="K170"/>
  <c r="J171"/>
  <c r="K171" s="1"/>
  <c r="M3"/>
  <c r="L3"/>
  <c r="K3"/>
  <c r="J3"/>
  <c r="I3"/>
  <c r="H3"/>
  <c r="G3"/>
  <c r="F3"/>
  <c r="E3"/>
  <c r="D3"/>
  <c r="C3"/>
  <c r="B2"/>
  <c r="A2"/>
  <c r="A343"/>
  <c r="A342"/>
  <c r="M76" i="46"/>
  <c r="M86"/>
  <c r="L76"/>
  <c r="G7"/>
  <c r="H7"/>
  <c r="E4"/>
  <c r="F4" s="1"/>
  <c r="G4"/>
  <c r="H4"/>
  <c r="I4" s="1"/>
  <c r="J4" s="1"/>
  <c r="K4"/>
  <c r="M3"/>
  <c r="L3"/>
  <c r="K3"/>
  <c r="J3"/>
  <c r="I3"/>
  <c r="H3"/>
  <c r="G3"/>
  <c r="F3"/>
  <c r="E3"/>
  <c r="D3"/>
  <c r="C3"/>
  <c r="E4" i="9"/>
  <c r="F4" s="1"/>
  <c r="G4" s="1"/>
  <c r="H4" s="1"/>
  <c r="I4" s="1"/>
  <c r="J4"/>
  <c r="K4" s="1"/>
  <c r="M3"/>
  <c r="L3"/>
  <c r="K3"/>
  <c r="J3"/>
  <c r="I3"/>
  <c r="H3"/>
  <c r="G3"/>
  <c r="F3"/>
  <c r="E3"/>
  <c r="D3"/>
  <c r="C3"/>
  <c r="A144" i="46"/>
  <c r="H17"/>
  <c r="H86"/>
  <c r="H108"/>
  <c r="G17"/>
  <c r="G76"/>
  <c r="G86"/>
  <c r="G108"/>
  <c r="F76"/>
  <c r="F86"/>
  <c r="C86"/>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3"/>
  <c r="B2"/>
  <c r="A2"/>
  <c r="F7" i="10"/>
  <c r="E7" i="7" s="1"/>
  <c r="H7" i="10"/>
  <c r="I7"/>
  <c r="H7" i="7" s="1"/>
  <c r="D7" i="10"/>
  <c r="C7" i="7" s="1"/>
  <c r="J8" i="10"/>
  <c r="K8" s="1"/>
  <c r="P7" i="30" s="1"/>
  <c r="N7" s="1"/>
  <c r="O7" s="1"/>
  <c r="E9" i="10"/>
  <c r="F9"/>
  <c r="G9"/>
  <c r="I9"/>
  <c r="D9"/>
  <c r="C9"/>
  <c r="E10"/>
  <c r="F10"/>
  <c r="H10"/>
  <c r="I10"/>
  <c r="C10"/>
  <c r="E11"/>
  <c r="F11"/>
  <c r="H11"/>
  <c r="I11"/>
  <c r="C11"/>
  <c r="J13"/>
  <c r="K13" s="1"/>
  <c r="P12" i="30" s="1"/>
  <c r="N12" s="1"/>
  <c r="O12" s="1"/>
  <c r="J14" i="10"/>
  <c r="K14" s="1"/>
  <c r="P13" i="30" s="1"/>
  <c r="N13" s="1"/>
  <c r="O13" s="1"/>
  <c r="J18" i="10"/>
  <c r="K18" s="1"/>
  <c r="P17" i="30" s="1"/>
  <c r="N17" s="1"/>
  <c r="O17" s="1"/>
  <c r="J19" i="10"/>
  <c r="K19" s="1"/>
  <c r="P18" i="30" s="1"/>
  <c r="N18" s="1"/>
  <c r="O18" s="1"/>
  <c r="J20" i="10"/>
  <c r="K20" s="1"/>
  <c r="P19" i="30" s="1"/>
  <c r="N19" s="1"/>
  <c r="O19" s="1"/>
  <c r="E36" i="17"/>
  <c r="E22" i="10" s="1"/>
  <c r="D11" i="7" s="1"/>
  <c r="G36" i="17"/>
  <c r="G22" i="10" s="1"/>
  <c r="F11" i="7" s="1"/>
  <c r="H36" i="17"/>
  <c r="H22" i="10"/>
  <c r="G11" i="7" s="1"/>
  <c r="D36" i="17"/>
  <c r="D22" i="10" s="1"/>
  <c r="C11" i="7" s="1"/>
  <c r="C36" i="17"/>
  <c r="C22" i="10" s="1"/>
  <c r="E19" i="18"/>
  <c r="E13"/>
  <c r="E14" s="1"/>
  <c r="E10" i="12" s="1"/>
  <c r="F19" i="18"/>
  <c r="F13" s="1"/>
  <c r="F14" s="1"/>
  <c r="F10" i="12"/>
  <c r="G19" i="18"/>
  <c r="G13" s="1"/>
  <c r="G14" s="1"/>
  <c r="G10" i="12" s="1"/>
  <c r="H19" i="18"/>
  <c r="H13" s="1"/>
  <c r="H14" s="1"/>
  <c r="H10" i="12"/>
  <c r="I19" i="18"/>
  <c r="I13" s="1"/>
  <c r="I14" s="1"/>
  <c r="I10" i="12" s="1"/>
  <c r="D19" i="18"/>
  <c r="D13" s="1"/>
  <c r="D14" s="1"/>
  <c r="D10" i="12" s="1"/>
  <c r="D43" i="14" s="1"/>
  <c r="C19" i="18"/>
  <c r="C13" s="1"/>
  <c r="J11" i="12"/>
  <c r="K11" s="1"/>
  <c r="E35" i="18"/>
  <c r="E34" i="12" s="1"/>
  <c r="F35" i="18"/>
  <c r="F34" i="12" s="1"/>
  <c r="G35" i="18"/>
  <c r="G34" i="12"/>
  <c r="H35" i="18"/>
  <c r="H34" i="12" s="1"/>
  <c r="I35" i="18"/>
  <c r="I34" i="12"/>
  <c r="D35" i="18"/>
  <c r="D34" i="12" s="1"/>
  <c r="C35" i="18"/>
  <c r="C34" i="12"/>
  <c r="C9" i="1"/>
  <c r="C12"/>
  <c r="C73" i="15" s="1"/>
  <c r="C16" i="1"/>
  <c r="K16" s="1"/>
  <c r="C20"/>
  <c r="C75" i="15" s="1"/>
  <c r="C23" i="1"/>
  <c r="C76" i="15"/>
  <c r="C29" i="1"/>
  <c r="C78" i="15" s="1"/>
  <c r="C79"/>
  <c r="C49" i="1"/>
  <c r="C80" i="15" s="1"/>
  <c r="C67" i="1"/>
  <c r="C71"/>
  <c r="C75"/>
  <c r="D10" i="7"/>
  <c r="D52" i="17"/>
  <c r="D54" s="1"/>
  <c r="D27" i="10" s="1"/>
  <c r="C13" i="7" s="1"/>
  <c r="D30" i="10"/>
  <c r="D70" i="15" s="1"/>
  <c r="C56" i="7" s="1"/>
  <c r="D71" i="17"/>
  <c r="D32" i="10" s="1"/>
  <c r="C17" i="7" s="1"/>
  <c r="D88" i="17"/>
  <c r="D94" s="1"/>
  <c r="D34" i="10" s="1"/>
  <c r="D103" i="17"/>
  <c r="D36" i="10" s="1"/>
  <c r="E52" i="17"/>
  <c r="E54" s="1"/>
  <c r="E27" i="10" s="1"/>
  <c r="D13" i="7" s="1"/>
  <c r="D14"/>
  <c r="D16"/>
  <c r="E71" i="17"/>
  <c r="E32" i="10" s="1"/>
  <c r="D17" i="7" s="1"/>
  <c r="D23"/>
  <c r="E10"/>
  <c r="E88" i="17"/>
  <c r="E94" s="1"/>
  <c r="E34" i="10" s="1"/>
  <c r="E103" i="17"/>
  <c r="E36" i="10" s="1"/>
  <c r="F52" i="17"/>
  <c r="F54"/>
  <c r="F27" i="10" s="1"/>
  <c r="E13" i="7" s="1"/>
  <c r="E14"/>
  <c r="E16"/>
  <c r="F71" i="17"/>
  <c r="F32" i="10" s="1"/>
  <c r="E17" i="7" s="1"/>
  <c r="E18"/>
  <c r="E22"/>
  <c r="E23"/>
  <c r="F10"/>
  <c r="F88" i="17"/>
  <c r="F94" s="1"/>
  <c r="F34" i="10" s="1"/>
  <c r="F103" i="17"/>
  <c r="F36" i="10"/>
  <c r="G52" i="17"/>
  <c r="G54" s="1"/>
  <c r="G27" i="10" s="1"/>
  <c r="F13" i="7" s="1"/>
  <c r="F14"/>
  <c r="G30" i="10"/>
  <c r="G70" i="15" s="1"/>
  <c r="F56" i="7" s="1"/>
  <c r="F16"/>
  <c r="G71" i="17"/>
  <c r="G32" i="10" s="1"/>
  <c r="F17" i="7" s="1"/>
  <c r="F18"/>
  <c r="F22"/>
  <c r="F23"/>
  <c r="G10"/>
  <c r="G88" i="17"/>
  <c r="G94" s="1"/>
  <c r="G34" i="10" s="1"/>
  <c r="G103" i="17"/>
  <c r="G36" i="10"/>
  <c r="H52" i="17"/>
  <c r="H54" s="1"/>
  <c r="H27" i="10" s="1"/>
  <c r="G13" i="7" s="1"/>
  <c r="G14"/>
  <c r="G16"/>
  <c r="H71" i="17"/>
  <c r="H32" i="10"/>
  <c r="G17" i="7" s="1"/>
  <c r="G18"/>
  <c r="G22"/>
  <c r="G23"/>
  <c r="H10"/>
  <c r="H88" i="17"/>
  <c r="H94"/>
  <c r="H34" i="10" s="1"/>
  <c r="H103" i="17"/>
  <c r="H36" i="10" s="1"/>
  <c r="I52" i="17"/>
  <c r="I54" s="1"/>
  <c r="I27" i="10" s="1"/>
  <c r="H13" i="7" s="1"/>
  <c r="H14"/>
  <c r="I30" i="10"/>
  <c r="I70" i="15" s="1"/>
  <c r="H56" i="7" s="1"/>
  <c r="H16"/>
  <c r="I71" i="17"/>
  <c r="I32" i="10"/>
  <c r="H17" i="7" s="1"/>
  <c r="H22"/>
  <c r="H23"/>
  <c r="C10"/>
  <c r="C71" i="17"/>
  <c r="C32" i="10" s="1"/>
  <c r="B17" i="7" s="1"/>
  <c r="C88" i="17"/>
  <c r="C94" s="1"/>
  <c r="C34" i="10" s="1"/>
  <c r="C103" i="17"/>
  <c r="C36" i="10" s="1"/>
  <c r="C14" i="7"/>
  <c r="C16"/>
  <c r="C18"/>
  <c r="C22"/>
  <c r="C23"/>
  <c r="B10"/>
  <c r="B14"/>
  <c r="B16"/>
  <c r="B18"/>
  <c r="B22"/>
  <c r="B23"/>
  <c r="E33" i="16"/>
  <c r="F33"/>
  <c r="J33" s="1"/>
  <c r="G33"/>
  <c r="H33"/>
  <c r="I33"/>
  <c r="D33"/>
  <c r="C33"/>
  <c r="E24"/>
  <c r="F24"/>
  <c r="G24"/>
  <c r="H24"/>
  <c r="I24"/>
  <c r="I29" s="1"/>
  <c r="D24"/>
  <c r="C24"/>
  <c r="E12"/>
  <c r="F12"/>
  <c r="G12"/>
  <c r="H12"/>
  <c r="I12"/>
  <c r="D12"/>
  <c r="C12"/>
  <c r="E41"/>
  <c r="F41"/>
  <c r="G41"/>
  <c r="H41"/>
  <c r="I41"/>
  <c r="L11" i="10"/>
  <c r="Q10" i="30" s="1"/>
  <c r="L10" i="10"/>
  <c r="L7"/>
  <c r="Q6" i="30" s="1"/>
  <c r="L30" i="10"/>
  <c r="Q29" i="30" s="1"/>
  <c r="L71" i="17"/>
  <c r="L32" i="10" s="1"/>
  <c r="K17" i="7" s="1"/>
  <c r="M30" i="10"/>
  <c r="M70" i="15" s="1"/>
  <c r="L16" i="7"/>
  <c r="M71" i="17"/>
  <c r="M32" i="10"/>
  <c r="R31" i="30" s="1"/>
  <c r="L18" i="7"/>
  <c r="J28" i="10"/>
  <c r="K28" s="1"/>
  <c r="P27" i="30" s="1"/>
  <c r="N27" s="1"/>
  <c r="O27" s="1"/>
  <c r="J29" i="10"/>
  <c r="K29" s="1"/>
  <c r="P28" i="30" s="1"/>
  <c r="N28" s="1"/>
  <c r="O28" s="1"/>
  <c r="J31" i="10"/>
  <c r="K31" s="1"/>
  <c r="P30" i="30" s="1"/>
  <c r="N30" s="1"/>
  <c r="O30" s="1"/>
  <c r="J33" i="10"/>
  <c r="K33"/>
  <c r="P32" i="30"/>
  <c r="N32" s="1"/>
  <c r="O32" s="1"/>
  <c r="I88" i="17"/>
  <c r="I94" s="1"/>
  <c r="I34" i="10" s="1"/>
  <c r="J37"/>
  <c r="K37"/>
  <c r="P36" i="30"/>
  <c r="N36" s="1"/>
  <c r="O36" s="1"/>
  <c r="K16" i="7"/>
  <c r="K18"/>
  <c r="D95" i="39"/>
  <c r="D94"/>
  <c r="F90"/>
  <c r="E90" s="1"/>
  <c r="F88"/>
  <c r="F86"/>
  <c r="E86"/>
  <c r="F96"/>
  <c r="E96" s="1"/>
  <c r="F94"/>
  <c r="E94"/>
  <c r="F95"/>
  <c r="E95" s="1"/>
  <c r="D99"/>
  <c r="D98"/>
  <c r="D93"/>
  <c r="D92"/>
  <c r="D91"/>
  <c r="D90"/>
  <c r="D89"/>
  <c r="E88"/>
  <c r="D88"/>
  <c r="D87"/>
  <c r="D86"/>
  <c r="D85"/>
  <c r="D84"/>
  <c r="D83"/>
  <c r="D82"/>
  <c r="D81"/>
  <c r="D80"/>
  <c r="D79"/>
  <c r="D78"/>
  <c r="D77"/>
  <c r="O4" i="38"/>
  <c r="O3"/>
  <c r="O2"/>
  <c r="N4"/>
  <c r="N3"/>
  <c r="N2"/>
  <c r="M4"/>
  <c r="M3"/>
  <c r="M2"/>
  <c r="L4"/>
  <c r="L3"/>
  <c r="L2"/>
  <c r="K4"/>
  <c r="K3"/>
  <c r="K2"/>
  <c r="J4"/>
  <c r="J3"/>
  <c r="J2"/>
  <c r="I4"/>
  <c r="I3"/>
  <c r="I2"/>
  <c r="H4"/>
  <c r="H3"/>
  <c r="H2"/>
  <c r="G4"/>
  <c r="G3"/>
  <c r="G2"/>
  <c r="F4"/>
  <c r="F3"/>
  <c r="F2"/>
  <c r="E4"/>
  <c r="E3"/>
  <c r="E2"/>
  <c r="A2" i="36"/>
  <c r="B2"/>
  <c r="F7" i="38"/>
  <c r="G7"/>
  <c r="F8"/>
  <c r="G8"/>
  <c r="F9"/>
  <c r="G9"/>
  <c r="C3" i="36"/>
  <c r="D3"/>
  <c r="E3"/>
  <c r="F3"/>
  <c r="G3"/>
  <c r="H3"/>
  <c r="I3"/>
  <c r="J3"/>
  <c r="K3"/>
  <c r="L3"/>
  <c r="M3"/>
  <c r="J7"/>
  <c r="J8"/>
  <c r="K8"/>
  <c r="J9"/>
  <c r="K9" s="1"/>
  <c r="J10"/>
  <c r="K10"/>
  <c r="J11"/>
  <c r="K11" s="1"/>
  <c r="J12"/>
  <c r="K12"/>
  <c r="J13"/>
  <c r="K13" s="1"/>
  <c r="J14"/>
  <c r="K14"/>
  <c r="J15"/>
  <c r="K15" s="1"/>
  <c r="J16"/>
  <c r="K16"/>
  <c r="C17"/>
  <c r="D17"/>
  <c r="E17"/>
  <c r="F17"/>
  <c r="G17"/>
  <c r="H17"/>
  <c r="I17"/>
  <c r="L17"/>
  <c r="M17"/>
  <c r="J20"/>
  <c r="K20" s="1"/>
  <c r="K30" s="1"/>
  <c r="J21"/>
  <c r="K21"/>
  <c r="J22"/>
  <c r="K22" s="1"/>
  <c r="J23"/>
  <c r="K23"/>
  <c r="J24"/>
  <c r="K24" s="1"/>
  <c r="J25"/>
  <c r="K25"/>
  <c r="J26"/>
  <c r="K26" s="1"/>
  <c r="J27"/>
  <c r="K27"/>
  <c r="J28"/>
  <c r="K28" s="1"/>
  <c r="J29"/>
  <c r="K29"/>
  <c r="C30"/>
  <c r="D30"/>
  <c r="E30"/>
  <c r="F30"/>
  <c r="G30"/>
  <c r="H30"/>
  <c r="I30"/>
  <c r="M30"/>
  <c r="J33"/>
  <c r="J34"/>
  <c r="K34"/>
  <c r="J35"/>
  <c r="K35" s="1"/>
  <c r="J36"/>
  <c r="K36"/>
  <c r="J37"/>
  <c r="K37" s="1"/>
  <c r="J38"/>
  <c r="K38"/>
  <c r="J39"/>
  <c r="K39" s="1"/>
  <c r="J40"/>
  <c r="K40"/>
  <c r="J41"/>
  <c r="K41" s="1"/>
  <c r="J42"/>
  <c r="K42"/>
  <c r="C43"/>
  <c r="D43"/>
  <c r="E43"/>
  <c r="F43"/>
  <c r="G43"/>
  <c r="H43"/>
  <c r="I43"/>
  <c r="L43"/>
  <c r="M43"/>
  <c r="A44"/>
  <c r="I2" i="35"/>
  <c r="I4"/>
  <c r="J4"/>
  <c r="K4"/>
  <c r="L4"/>
  <c r="M4"/>
  <c r="N4"/>
  <c r="A2" i="1"/>
  <c r="B2"/>
  <c r="C3"/>
  <c r="D3"/>
  <c r="E3"/>
  <c r="F3"/>
  <c r="G3"/>
  <c r="H3"/>
  <c r="I3"/>
  <c r="J3"/>
  <c r="K3"/>
  <c r="L3"/>
  <c r="M3"/>
  <c r="D9"/>
  <c r="D12"/>
  <c r="D73" i="15" s="1"/>
  <c r="D20" i="1"/>
  <c r="D75" i="15"/>
  <c r="D23" i="1"/>
  <c r="D76" i="15" s="1"/>
  <c r="E9" i="1"/>
  <c r="E72" i="15" s="1"/>
  <c r="E12" i="1"/>
  <c r="J12" s="1"/>
  <c r="K12" s="1"/>
  <c r="E74" i="15"/>
  <c r="E20" i="1"/>
  <c r="E23"/>
  <c r="E76" i="15" s="1"/>
  <c r="F9" i="1"/>
  <c r="F72" i="15" s="1"/>
  <c r="F12" i="1"/>
  <c r="F73" i="15" s="1"/>
  <c r="F16" i="1"/>
  <c r="F74" i="15"/>
  <c r="F20" i="1"/>
  <c r="F75" i="15" s="1"/>
  <c r="F23" i="1"/>
  <c r="F76" i="15"/>
  <c r="G9" i="1"/>
  <c r="G8" s="1"/>
  <c r="G79" s="1"/>
  <c r="G12"/>
  <c r="G73" i="15" s="1"/>
  <c r="G16" i="1"/>
  <c r="G74" i="15"/>
  <c r="G20" i="1"/>
  <c r="G75" i="15" s="1"/>
  <c r="G23" i="1"/>
  <c r="G76" i="15" s="1"/>
  <c r="H9" i="1"/>
  <c r="H12"/>
  <c r="H73" i="15"/>
  <c r="H16" i="1"/>
  <c r="H74" i="15" s="1"/>
  <c r="H20" i="1"/>
  <c r="H75" i="15"/>
  <c r="H23" i="1"/>
  <c r="H76" i="15" s="1"/>
  <c r="I9" i="1"/>
  <c r="I12"/>
  <c r="I73" i="15"/>
  <c r="I16" i="1"/>
  <c r="I74" i="15" s="1"/>
  <c r="I20" i="1"/>
  <c r="I75" i="15"/>
  <c r="I23" i="1"/>
  <c r="I76" i="15" s="1"/>
  <c r="L9" i="1"/>
  <c r="L8" s="1"/>
  <c r="L79" s="1"/>
  <c r="L12"/>
  <c r="L73" i="15" s="1"/>
  <c r="L16" i="1"/>
  <c r="L74" i="15"/>
  <c r="L20" i="1"/>
  <c r="L75" i="15" s="1"/>
  <c r="L23" i="1"/>
  <c r="L76" i="15" s="1"/>
  <c r="M9" i="1"/>
  <c r="M12"/>
  <c r="M73" i="15" s="1"/>
  <c r="M16" i="1"/>
  <c r="M74" i="15"/>
  <c r="M20" i="1"/>
  <c r="M75" i="15" s="1"/>
  <c r="M23" i="1"/>
  <c r="M76" i="15" s="1"/>
  <c r="J10" i="1"/>
  <c r="K10" s="1"/>
  <c r="J11"/>
  <c r="K11" s="1"/>
  <c r="J13"/>
  <c r="K13" s="1"/>
  <c r="J14"/>
  <c r="K14" s="1"/>
  <c r="J15"/>
  <c r="K15" s="1"/>
  <c r="J17"/>
  <c r="K17"/>
  <c r="J18"/>
  <c r="K18" s="1"/>
  <c r="J19"/>
  <c r="K19"/>
  <c r="J21"/>
  <c r="K21" s="1"/>
  <c r="J22"/>
  <c r="K22"/>
  <c r="J24"/>
  <c r="K24" s="1"/>
  <c r="J25"/>
  <c r="K25"/>
  <c r="J26"/>
  <c r="K26" s="1"/>
  <c r="J27"/>
  <c r="K27"/>
  <c r="J28"/>
  <c r="K28" s="1"/>
  <c r="D29"/>
  <c r="D78" i="15" s="1"/>
  <c r="E29" i="1"/>
  <c r="E78" i="15" s="1"/>
  <c r="F29" i="1"/>
  <c r="F78" i="15" s="1"/>
  <c r="G29" i="1"/>
  <c r="G78" i="15"/>
  <c r="H29" i="1"/>
  <c r="H78" i="15" s="1"/>
  <c r="I29" i="1"/>
  <c r="I78" i="15"/>
  <c r="J29" i="1"/>
  <c r="K29" s="1"/>
  <c r="L29"/>
  <c r="L78" i="15" s="1"/>
  <c r="M29" i="1"/>
  <c r="J30"/>
  <c r="K30" s="1"/>
  <c r="J31"/>
  <c r="K31" s="1"/>
  <c r="J32"/>
  <c r="K32" s="1"/>
  <c r="J33"/>
  <c r="K33" s="1"/>
  <c r="J34"/>
  <c r="K34" s="1"/>
  <c r="J35"/>
  <c r="K35" s="1"/>
  <c r="J36"/>
  <c r="K36"/>
  <c r="J37"/>
  <c r="K37" s="1"/>
  <c r="J38"/>
  <c r="K38"/>
  <c r="J39"/>
  <c r="K39" s="1"/>
  <c r="J40"/>
  <c r="K40"/>
  <c r="J41"/>
  <c r="K41" s="1"/>
  <c r="J43"/>
  <c r="K43"/>
  <c r="D79" i="15"/>
  <c r="E79"/>
  <c r="F79"/>
  <c r="G79"/>
  <c r="H79"/>
  <c r="I79"/>
  <c r="J46" i="1"/>
  <c r="L79" i="15"/>
  <c r="M79"/>
  <c r="D49" i="1"/>
  <c r="D80" i="15"/>
  <c r="E49" i="1"/>
  <c r="E80" i="15"/>
  <c r="F49" i="1"/>
  <c r="F80" i="15"/>
  <c r="G49" i="1"/>
  <c r="G80" i="15"/>
  <c r="H49" i="1"/>
  <c r="H80" i="15"/>
  <c r="I49" i="1"/>
  <c r="I80" i="15"/>
  <c r="J50" i="1"/>
  <c r="J51"/>
  <c r="L49"/>
  <c r="L80" i="15"/>
  <c r="M49" i="1"/>
  <c r="M80" i="15"/>
  <c r="E53" i="1"/>
  <c r="F53"/>
  <c r="F81" i="15" s="1"/>
  <c r="G53" i="1"/>
  <c r="I53"/>
  <c r="J54"/>
  <c r="J56"/>
  <c r="K56" s="1"/>
  <c r="J57"/>
  <c r="K57" s="1"/>
  <c r="J58"/>
  <c r="J53" s="1"/>
  <c r="J59"/>
  <c r="K59" s="1"/>
  <c r="J60"/>
  <c r="K60"/>
  <c r="J61"/>
  <c r="K61" s="1"/>
  <c r="J62"/>
  <c r="K62" s="1"/>
  <c r="J63"/>
  <c r="K63"/>
  <c r="J64"/>
  <c r="K64" s="1"/>
  <c r="J65"/>
  <c r="K65" s="1"/>
  <c r="L53"/>
  <c r="M53"/>
  <c r="D67"/>
  <c r="E67"/>
  <c r="F67"/>
  <c r="G67"/>
  <c r="H67"/>
  <c r="I67"/>
  <c r="J68"/>
  <c r="J69"/>
  <c r="K69"/>
  <c r="L67"/>
  <c r="M67"/>
  <c r="D71"/>
  <c r="E71"/>
  <c r="F71"/>
  <c r="G71"/>
  <c r="H71"/>
  <c r="I71"/>
  <c r="I81" i="15" s="1"/>
  <c r="J72" i="1"/>
  <c r="K72" s="1"/>
  <c r="J73"/>
  <c r="L71"/>
  <c r="L81" i="15" s="1"/>
  <c r="M71" i="1"/>
  <c r="D75"/>
  <c r="E75"/>
  <c r="F75"/>
  <c r="G75"/>
  <c r="H75"/>
  <c r="I75"/>
  <c r="J77"/>
  <c r="J75" s="1"/>
  <c r="L75"/>
  <c r="M75"/>
  <c r="A86"/>
  <c r="C45" i="11"/>
  <c r="C49"/>
  <c r="C55"/>
  <c r="M45"/>
  <c r="M49"/>
  <c r="Q10" i="33"/>
  <c r="A2" i="37"/>
  <c r="B2"/>
  <c r="C3"/>
  <c r="D3"/>
  <c r="E3"/>
  <c r="F3"/>
  <c r="G3"/>
  <c r="H3"/>
  <c r="I3"/>
  <c r="J3"/>
  <c r="K3"/>
  <c r="L3"/>
  <c r="M3"/>
  <c r="C9"/>
  <c r="C12"/>
  <c r="C24" i="15" s="1"/>
  <c r="C16" i="37"/>
  <c r="C25" i="15"/>
  <c r="C20" i="37"/>
  <c r="K20" s="1"/>
  <c r="C23"/>
  <c r="C27" i="15"/>
  <c r="D9" i="37"/>
  <c r="D12"/>
  <c r="D16"/>
  <c r="D20"/>
  <c r="D23"/>
  <c r="E9"/>
  <c r="E12"/>
  <c r="E24" i="15" s="1"/>
  <c r="E16" i="37"/>
  <c r="E20"/>
  <c r="J20" s="1"/>
  <c r="E23"/>
  <c r="J23" s="1"/>
  <c r="F9"/>
  <c r="F12"/>
  <c r="F16"/>
  <c r="F20"/>
  <c r="F23"/>
  <c r="F27" i="15" s="1"/>
  <c r="G9" i="37"/>
  <c r="G12"/>
  <c r="G16"/>
  <c r="G20"/>
  <c r="G26" i="15" s="1"/>
  <c r="G23" i="37"/>
  <c r="H9"/>
  <c r="H12"/>
  <c r="J12"/>
  <c r="H16"/>
  <c r="H20"/>
  <c r="H23"/>
  <c r="I9"/>
  <c r="J9" s="1"/>
  <c r="I12"/>
  <c r="I24" i="15" s="1"/>
  <c r="I16" i="37"/>
  <c r="I20"/>
  <c r="I26" i="15" s="1"/>
  <c r="I23" i="37"/>
  <c r="L9"/>
  <c r="L23" i="15" s="1"/>
  <c r="L12" i="37"/>
  <c r="L16"/>
  <c r="L25" i="15" s="1"/>
  <c r="L20" i="37"/>
  <c r="L23"/>
  <c r="M9"/>
  <c r="M23" i="15" s="1"/>
  <c r="M12" i="37"/>
  <c r="M16"/>
  <c r="M25" i="15" s="1"/>
  <c r="M20" i="37"/>
  <c r="M23"/>
  <c r="J11"/>
  <c r="K11" s="1"/>
  <c r="J13"/>
  <c r="K13" s="1"/>
  <c r="J14"/>
  <c r="K14" s="1"/>
  <c r="J15"/>
  <c r="K15" s="1"/>
  <c r="J17"/>
  <c r="K17"/>
  <c r="J18"/>
  <c r="K18" s="1"/>
  <c r="J19"/>
  <c r="J21"/>
  <c r="K21"/>
  <c r="J22"/>
  <c r="K22" s="1"/>
  <c r="J24"/>
  <c r="K24"/>
  <c r="J25"/>
  <c r="K25" s="1"/>
  <c r="J26"/>
  <c r="K26"/>
  <c r="J27"/>
  <c r="K27" s="1"/>
  <c r="J28"/>
  <c r="K28"/>
  <c r="C29"/>
  <c r="C29" i="15" s="1"/>
  <c r="D29" i="37"/>
  <c r="E29"/>
  <c r="F29"/>
  <c r="F29" i="15" s="1"/>
  <c r="G29" i="37"/>
  <c r="G29" i="15" s="1"/>
  <c r="H29" i="37"/>
  <c r="I29"/>
  <c r="L29"/>
  <c r="L29" i="15" s="1"/>
  <c r="M29" i="37"/>
  <c r="J30"/>
  <c r="K30"/>
  <c r="J31"/>
  <c r="K31" s="1"/>
  <c r="J32"/>
  <c r="K32"/>
  <c r="J33"/>
  <c r="K33" s="1"/>
  <c r="J34"/>
  <c r="K34"/>
  <c r="J35"/>
  <c r="K35" s="1"/>
  <c r="J36"/>
  <c r="K36"/>
  <c r="J37"/>
  <c r="K37" s="1"/>
  <c r="J38"/>
  <c r="K38"/>
  <c r="J39"/>
  <c r="K39" s="1"/>
  <c r="J40"/>
  <c r="K40"/>
  <c r="J41"/>
  <c r="K41" s="1"/>
  <c r="K43"/>
  <c r="C30" i="15"/>
  <c r="J46" i="37"/>
  <c r="C49"/>
  <c r="C31" i="15"/>
  <c r="D49" i="37"/>
  <c r="E49"/>
  <c r="F49"/>
  <c r="G49"/>
  <c r="G31" i="15" s="1"/>
  <c r="H49" i="37"/>
  <c r="I49"/>
  <c r="J50"/>
  <c r="K50" s="1"/>
  <c r="J51"/>
  <c r="J49" s="1"/>
  <c r="L49"/>
  <c r="M49"/>
  <c r="M31" i="15" s="1"/>
  <c r="J54" i="37"/>
  <c r="J56"/>
  <c r="J57"/>
  <c r="K57"/>
  <c r="J58"/>
  <c r="K58" s="1"/>
  <c r="J59"/>
  <c r="K59"/>
  <c r="J60"/>
  <c r="K60" s="1"/>
  <c r="J61"/>
  <c r="K61"/>
  <c r="J62"/>
  <c r="K62" s="1"/>
  <c r="J63"/>
  <c r="K63"/>
  <c r="J64"/>
  <c r="J65"/>
  <c r="K65"/>
  <c r="K56"/>
  <c r="K64"/>
  <c r="L53"/>
  <c r="M53"/>
  <c r="C67"/>
  <c r="C33" i="15"/>
  <c r="D67" i="37"/>
  <c r="E67"/>
  <c r="F67"/>
  <c r="F33" i="15" s="1"/>
  <c r="G67" i="37"/>
  <c r="G33" i="15" s="1"/>
  <c r="H67" i="37"/>
  <c r="I67"/>
  <c r="J68"/>
  <c r="K68" s="1"/>
  <c r="J67"/>
  <c r="J69"/>
  <c r="L67"/>
  <c r="L33" i="15" s="1"/>
  <c r="M67" i="37"/>
  <c r="C71"/>
  <c r="C34" i="15"/>
  <c r="D71" i="37"/>
  <c r="E71"/>
  <c r="F71"/>
  <c r="G71"/>
  <c r="H71"/>
  <c r="I71"/>
  <c r="I34" i="15" s="1"/>
  <c r="J72" i="37"/>
  <c r="K72"/>
  <c r="J73"/>
  <c r="K73" s="1"/>
  <c r="L71"/>
  <c r="M71"/>
  <c r="C75"/>
  <c r="C35" i="15" s="1"/>
  <c r="D75" i="37"/>
  <c r="E75"/>
  <c r="F75"/>
  <c r="G75"/>
  <c r="H75"/>
  <c r="I75"/>
  <c r="J77"/>
  <c r="K77" s="1"/>
  <c r="L75"/>
  <c r="M75"/>
  <c r="A86"/>
  <c r="A2" i="34"/>
  <c r="B2"/>
  <c r="C3"/>
  <c r="D3"/>
  <c r="E3"/>
  <c r="F3"/>
  <c r="G3"/>
  <c r="H3"/>
  <c r="I3"/>
  <c r="J3"/>
  <c r="K3"/>
  <c r="L3"/>
  <c r="M3"/>
  <c r="C9"/>
  <c r="C8" i="15" s="1"/>
  <c r="C12" i="34"/>
  <c r="C16"/>
  <c r="C10" i="15" s="1"/>
  <c r="C20" i="34"/>
  <c r="C11" i="15" s="1"/>
  <c r="C23" i="34"/>
  <c r="C12" i="15"/>
  <c r="D9" i="34"/>
  <c r="D8" i="15" s="1"/>
  <c r="D12" i="34"/>
  <c r="D9" i="15" s="1"/>
  <c r="D16" i="34"/>
  <c r="D10" i="15" s="1"/>
  <c r="D20" i="34"/>
  <c r="D11" i="15"/>
  <c r="D23" i="34"/>
  <c r="D12" i="15" s="1"/>
  <c r="E9" i="34"/>
  <c r="E8" i="15" s="1"/>
  <c r="E12" i="34"/>
  <c r="E16"/>
  <c r="E20"/>
  <c r="E23"/>
  <c r="F9"/>
  <c r="F8" i="15" s="1"/>
  <c r="F12" i="34"/>
  <c r="F16"/>
  <c r="J16"/>
  <c r="F20"/>
  <c r="F11" i="15" s="1"/>
  <c r="F23" i="34"/>
  <c r="G9"/>
  <c r="G12"/>
  <c r="G16"/>
  <c r="G20"/>
  <c r="G23"/>
  <c r="J23" s="1"/>
  <c r="K23" s="1"/>
  <c r="H9"/>
  <c r="H12"/>
  <c r="H9" i="15" s="1"/>
  <c r="H16" i="34"/>
  <c r="H20"/>
  <c r="J20" s="1"/>
  <c r="K20" s="1"/>
  <c r="H23"/>
  <c r="I12"/>
  <c r="I16"/>
  <c r="I20"/>
  <c r="I23"/>
  <c r="I12" i="15" s="1"/>
  <c r="L9" i="34"/>
  <c r="L12"/>
  <c r="L9" i="15" s="1"/>
  <c r="L16" i="34"/>
  <c r="L10" i="15" s="1"/>
  <c r="L20" i="34"/>
  <c r="L23"/>
  <c r="M9"/>
  <c r="M12"/>
  <c r="M9" i="15" s="1"/>
  <c r="M16" i="34"/>
  <c r="M20"/>
  <c r="M23"/>
  <c r="M8" s="1"/>
  <c r="J11"/>
  <c r="K11"/>
  <c r="J13"/>
  <c r="K13" s="1"/>
  <c r="J14"/>
  <c r="K14" s="1"/>
  <c r="J15"/>
  <c r="K15" s="1"/>
  <c r="J17"/>
  <c r="K17"/>
  <c r="J18"/>
  <c r="K18" s="1"/>
  <c r="J19"/>
  <c r="K19"/>
  <c r="J21"/>
  <c r="K21" s="1"/>
  <c r="J22"/>
  <c r="K22"/>
  <c r="J24"/>
  <c r="K24" s="1"/>
  <c r="J25"/>
  <c r="K25" s="1"/>
  <c r="J26"/>
  <c r="K26" s="1"/>
  <c r="J27"/>
  <c r="K27" s="1"/>
  <c r="J28"/>
  <c r="K28" s="1"/>
  <c r="C29"/>
  <c r="C14" i="15" s="1"/>
  <c r="D29" i="34"/>
  <c r="D14" i="15" s="1"/>
  <c r="E29" i="34"/>
  <c r="F29"/>
  <c r="F14" i="15" s="1"/>
  <c r="G29" i="34"/>
  <c r="G14" i="15" s="1"/>
  <c r="H29" i="34"/>
  <c r="L29"/>
  <c r="L14" i="15" s="1"/>
  <c r="M29" i="34"/>
  <c r="J30"/>
  <c r="K30" s="1"/>
  <c r="J31"/>
  <c r="K31" s="1"/>
  <c r="J32"/>
  <c r="K32" s="1"/>
  <c r="J33"/>
  <c r="K33" s="1"/>
  <c r="J34"/>
  <c r="K34" s="1"/>
  <c r="J35"/>
  <c r="K35" s="1"/>
  <c r="J36"/>
  <c r="K36" s="1"/>
  <c r="J37"/>
  <c r="K37" s="1"/>
  <c r="J38"/>
  <c r="K38" s="1"/>
  <c r="J39"/>
  <c r="K39" s="1"/>
  <c r="J40"/>
  <c r="K40"/>
  <c r="J41"/>
  <c r="K41" s="1"/>
  <c r="C15" i="15"/>
  <c r="D15"/>
  <c r="J46" i="34"/>
  <c r="J45"/>
  <c r="C49"/>
  <c r="C16" i="15" s="1"/>
  <c r="D49" i="34"/>
  <c r="D16" i="15" s="1"/>
  <c r="E49" i="34"/>
  <c r="E16" i="15" s="1"/>
  <c r="F49" i="34"/>
  <c r="F16" i="15" s="1"/>
  <c r="G49" i="34"/>
  <c r="H49"/>
  <c r="I49"/>
  <c r="I16" i="15" s="1"/>
  <c r="J50" i="34"/>
  <c r="K50" s="1"/>
  <c r="J51"/>
  <c r="K51" s="1"/>
  <c r="K49" s="1"/>
  <c r="L49"/>
  <c r="M49"/>
  <c r="M16" i="15" s="1"/>
  <c r="G53" i="34"/>
  <c r="J56"/>
  <c r="J57"/>
  <c r="K57" s="1"/>
  <c r="J59"/>
  <c r="J60"/>
  <c r="K60" s="1"/>
  <c r="J61"/>
  <c r="K61" s="1"/>
  <c r="J62"/>
  <c r="K62" s="1"/>
  <c r="J63"/>
  <c r="K63" s="1"/>
  <c r="J64"/>
  <c r="K64" s="1"/>
  <c r="K59"/>
  <c r="C18" i="15"/>
  <c r="D67" i="34"/>
  <c r="D18" i="15"/>
  <c r="E67" i="34"/>
  <c r="E18" i="15" s="1"/>
  <c r="F67" i="34"/>
  <c r="G67"/>
  <c r="H67"/>
  <c r="I67"/>
  <c r="J68"/>
  <c r="J69"/>
  <c r="K69"/>
  <c r="L67"/>
  <c r="M67"/>
  <c r="C71"/>
  <c r="C19" i="15"/>
  <c r="D71" i="34"/>
  <c r="D19" i="15" s="1"/>
  <c r="E71" i="34"/>
  <c r="F71"/>
  <c r="F19" i="15" s="1"/>
  <c r="G71" i="34"/>
  <c r="G19" i="15" s="1"/>
  <c r="H71" i="34"/>
  <c r="I71"/>
  <c r="J72"/>
  <c r="J73"/>
  <c r="K73" s="1"/>
  <c r="L71"/>
  <c r="M71"/>
  <c r="M19" i="15"/>
  <c r="C75" i="34"/>
  <c r="C20" i="15" s="1"/>
  <c r="D75" i="34"/>
  <c r="D20" i="15" s="1"/>
  <c r="E75" i="34"/>
  <c r="F75"/>
  <c r="G75"/>
  <c r="H75"/>
  <c r="H20" i="15" s="1"/>
  <c r="I75" i="34"/>
  <c r="J77"/>
  <c r="K77"/>
  <c r="L75"/>
  <c r="L20" i="15" s="1"/>
  <c r="M75" i="34"/>
  <c r="A86"/>
  <c r="A2" i="33"/>
  <c r="B2"/>
  <c r="O2"/>
  <c r="C4"/>
  <c r="D4"/>
  <c r="E4"/>
  <c r="F4"/>
  <c r="G4"/>
  <c r="H4"/>
  <c r="I4"/>
  <c r="J4"/>
  <c r="K4"/>
  <c r="L4"/>
  <c r="M4"/>
  <c r="N4"/>
  <c r="O4"/>
  <c r="P4"/>
  <c r="Q4"/>
  <c r="A6"/>
  <c r="C6"/>
  <c r="D6"/>
  <c r="E6"/>
  <c r="F6"/>
  <c r="G6"/>
  <c r="H6"/>
  <c r="I6"/>
  <c r="J6"/>
  <c r="K6"/>
  <c r="L6"/>
  <c r="M6"/>
  <c r="J47" i="11"/>
  <c r="K47" s="1"/>
  <c r="O8" i="33" s="1"/>
  <c r="N8" s="1"/>
  <c r="J48" i="11"/>
  <c r="K48"/>
  <c r="O9" i="33" s="1"/>
  <c r="N9" s="1"/>
  <c r="L45" i="11"/>
  <c r="P6" i="33" s="1"/>
  <c r="A7"/>
  <c r="A8"/>
  <c r="A9"/>
  <c r="A10"/>
  <c r="C10"/>
  <c r="D10"/>
  <c r="E10"/>
  <c r="F10"/>
  <c r="G10"/>
  <c r="H10"/>
  <c r="I10"/>
  <c r="J10"/>
  <c r="K10"/>
  <c r="L10"/>
  <c r="M10"/>
  <c r="J50" i="11"/>
  <c r="J51"/>
  <c r="K51"/>
  <c r="O12" i="33"/>
  <c r="N12" s="1"/>
  <c r="J52" i="11"/>
  <c r="K52" s="1"/>
  <c r="O13" i="33" s="1"/>
  <c r="N13" s="1"/>
  <c r="J53" i="11"/>
  <c r="K53" s="1"/>
  <c r="O14" i="33" s="1"/>
  <c r="N14" s="1"/>
  <c r="J54" i="11"/>
  <c r="K54"/>
  <c r="O15" i="33"/>
  <c r="N15" s="1"/>
  <c r="L49" i="11"/>
  <c r="P10" i="33" s="1"/>
  <c r="A11"/>
  <c r="A12"/>
  <c r="A13"/>
  <c r="A14"/>
  <c r="A15"/>
  <c r="J61" i="11"/>
  <c r="K61" s="1"/>
  <c r="O22" i="33" s="1"/>
  <c r="N22" s="1"/>
  <c r="J62" i="11"/>
  <c r="K62" s="1"/>
  <c r="O23" i="33" s="1"/>
  <c r="N23" s="1"/>
  <c r="J63" i="11"/>
  <c r="K63"/>
  <c r="O24" i="33" s="1"/>
  <c r="N24" s="1"/>
  <c r="A16"/>
  <c r="C16"/>
  <c r="D16"/>
  <c r="E16"/>
  <c r="F16"/>
  <c r="F26" s="1"/>
  <c r="G16"/>
  <c r="H16"/>
  <c r="I16"/>
  <c r="L16"/>
  <c r="A17"/>
  <c r="A18"/>
  <c r="A19"/>
  <c r="A20"/>
  <c r="A21"/>
  <c r="A22"/>
  <c r="A23"/>
  <c r="A24"/>
  <c r="A25"/>
  <c r="A27"/>
  <c r="J58" i="11"/>
  <c r="K58" s="1"/>
  <c r="O19" i="33" s="1"/>
  <c r="N19" s="1"/>
  <c r="L55" i="11"/>
  <c r="P16" i="33" s="1"/>
  <c r="A2" i="32"/>
  <c r="B2"/>
  <c r="C4"/>
  <c r="D4"/>
  <c r="E4"/>
  <c r="F4"/>
  <c r="G4"/>
  <c r="H4"/>
  <c r="I4"/>
  <c r="J4"/>
  <c r="K4"/>
  <c r="L4"/>
  <c r="M4"/>
  <c r="N4"/>
  <c r="P4"/>
  <c r="Q4"/>
  <c r="R4"/>
  <c r="C21"/>
  <c r="C40" s="1"/>
  <c r="D21"/>
  <c r="E21"/>
  <c r="E40" s="1"/>
  <c r="F21"/>
  <c r="F40" s="1"/>
  <c r="G21"/>
  <c r="H21"/>
  <c r="I21"/>
  <c r="I40" s="1"/>
  <c r="J21"/>
  <c r="J40" s="1"/>
  <c r="K21"/>
  <c r="K40" s="1"/>
  <c r="L21"/>
  <c r="M21"/>
  <c r="M40" s="1"/>
  <c r="O22"/>
  <c r="D39"/>
  <c r="D40" s="1"/>
  <c r="E39"/>
  <c r="F39"/>
  <c r="G39"/>
  <c r="H39"/>
  <c r="I39"/>
  <c r="J39"/>
  <c r="K39"/>
  <c r="L39"/>
  <c r="M39"/>
  <c r="O39"/>
  <c r="A41"/>
  <c r="B2" i="31"/>
  <c r="P2"/>
  <c r="C4"/>
  <c r="D4"/>
  <c r="E4"/>
  <c r="F4"/>
  <c r="G4"/>
  <c r="H4"/>
  <c r="I4"/>
  <c r="J4"/>
  <c r="K4"/>
  <c r="L4"/>
  <c r="M4"/>
  <c r="N4"/>
  <c r="P4"/>
  <c r="Q4"/>
  <c r="R4"/>
  <c r="N6"/>
  <c r="O6" s="1"/>
  <c r="N7"/>
  <c r="O7" s="1"/>
  <c r="N8"/>
  <c r="O8" s="1"/>
  <c r="N9"/>
  <c r="O9" s="1"/>
  <c r="N10"/>
  <c r="O10" s="1"/>
  <c r="N11"/>
  <c r="O11" s="1"/>
  <c r="O12"/>
  <c r="N13"/>
  <c r="O13" s="1"/>
  <c r="N14"/>
  <c r="O14" s="1"/>
  <c r="N15"/>
  <c r="O15" s="1"/>
  <c r="N16"/>
  <c r="O16" s="1"/>
  <c r="N17"/>
  <c r="O17" s="1"/>
  <c r="N18"/>
  <c r="O18" s="1"/>
  <c r="N19"/>
  <c r="O19" s="1"/>
  <c r="N20"/>
  <c r="O20" s="1"/>
  <c r="C22"/>
  <c r="C34" s="1"/>
  <c r="D22"/>
  <c r="D34" s="1"/>
  <c r="E22"/>
  <c r="E34" s="1"/>
  <c r="F22"/>
  <c r="F34" s="1"/>
  <c r="G22"/>
  <c r="G34" s="1"/>
  <c r="H22"/>
  <c r="H34" s="1"/>
  <c r="I22"/>
  <c r="I34" s="1"/>
  <c r="J22"/>
  <c r="J34" s="1"/>
  <c r="K22"/>
  <c r="K34" s="1"/>
  <c r="L22"/>
  <c r="L34" s="1"/>
  <c r="M22"/>
  <c r="M34" s="1"/>
  <c r="R22"/>
  <c r="R34" s="1"/>
  <c r="N26"/>
  <c r="O26" s="1"/>
  <c r="N27"/>
  <c r="O27" s="1"/>
  <c r="N28"/>
  <c r="O28" s="1"/>
  <c r="N29"/>
  <c r="N30"/>
  <c r="N31"/>
  <c r="N32"/>
  <c r="N33"/>
  <c r="N37"/>
  <c r="O37" s="1"/>
  <c r="N38"/>
  <c r="O38" s="1"/>
  <c r="N39"/>
  <c r="O39" s="1"/>
  <c r="N40"/>
  <c r="O40" s="1"/>
  <c r="N41"/>
  <c r="O41" s="1"/>
  <c r="N42"/>
  <c r="O42" s="1"/>
  <c r="N43"/>
  <c r="N44"/>
  <c r="O44" s="1"/>
  <c r="N45"/>
  <c r="C48"/>
  <c r="C54" s="1"/>
  <c r="D48"/>
  <c r="D54" s="1"/>
  <c r="E48"/>
  <c r="E54" s="1"/>
  <c r="F48"/>
  <c r="G48"/>
  <c r="G54" s="1"/>
  <c r="H48"/>
  <c r="H54" s="1"/>
  <c r="I48"/>
  <c r="I54" s="1"/>
  <c r="J48"/>
  <c r="J65" s="1"/>
  <c r="K48"/>
  <c r="K65" s="1"/>
  <c r="L48"/>
  <c r="L54" s="1"/>
  <c r="M48"/>
  <c r="M54" s="1"/>
  <c r="N52"/>
  <c r="O52" s="1"/>
  <c r="N53"/>
  <c r="O53" s="1"/>
  <c r="F54"/>
  <c r="J54"/>
  <c r="P57"/>
  <c r="F65"/>
  <c r="A2" i="30"/>
  <c r="B2"/>
  <c r="C4"/>
  <c r="D4"/>
  <c r="E4"/>
  <c r="F4"/>
  <c r="G4"/>
  <c r="H4"/>
  <c r="J4"/>
  <c r="K4"/>
  <c r="L4"/>
  <c r="M4"/>
  <c r="N4"/>
  <c r="P4"/>
  <c r="Q4"/>
  <c r="R4"/>
  <c r="Q7"/>
  <c r="R7"/>
  <c r="L12" i="10"/>
  <c r="Q11" i="30" s="1"/>
  <c r="Q12"/>
  <c r="R12"/>
  <c r="Q13"/>
  <c r="R13"/>
  <c r="J15" i="10"/>
  <c r="K15" s="1"/>
  <c r="P14" i="30" s="1"/>
  <c r="N14" s="1"/>
  <c r="O14" s="1"/>
  <c r="Q14"/>
  <c r="R14"/>
  <c r="J16" i="10"/>
  <c r="K16" s="1"/>
  <c r="P15" i="30" s="1"/>
  <c r="N15" s="1"/>
  <c r="O15" s="1"/>
  <c r="Q15"/>
  <c r="R15"/>
  <c r="J17" i="10"/>
  <c r="K17" s="1"/>
  <c r="P16" i="30" s="1"/>
  <c r="N16" s="1"/>
  <c r="O16" s="1"/>
  <c r="Q16"/>
  <c r="R16"/>
  <c r="Q17"/>
  <c r="R17"/>
  <c r="Q18"/>
  <c r="R18"/>
  <c r="Q19"/>
  <c r="R19"/>
  <c r="J21" i="10"/>
  <c r="K21" s="1"/>
  <c r="Q20" i="30"/>
  <c r="R20"/>
  <c r="L36" i="17"/>
  <c r="L22" i="10" s="1"/>
  <c r="J23"/>
  <c r="K23" s="1"/>
  <c r="P22" i="30" s="1"/>
  <c r="N22" s="1"/>
  <c r="O22" s="1"/>
  <c r="Q22"/>
  <c r="R22"/>
  <c r="D23"/>
  <c r="E23"/>
  <c r="F23"/>
  <c r="G23"/>
  <c r="H23"/>
  <c r="I23"/>
  <c r="J23"/>
  <c r="K23"/>
  <c r="L23"/>
  <c r="L39" s="1"/>
  <c r="L43" s="1"/>
  <c r="M23"/>
  <c r="M103" i="17"/>
  <c r="M36" i="10" s="1"/>
  <c r="R35" i="30" s="1"/>
  <c r="D37"/>
  <c r="E37"/>
  <c r="F37"/>
  <c r="G37"/>
  <c r="H37"/>
  <c r="I37"/>
  <c r="I39" s="1"/>
  <c r="I43" s="1"/>
  <c r="J37"/>
  <c r="K37"/>
  <c r="L37"/>
  <c r="M37"/>
  <c r="M39"/>
  <c r="M43" s="1"/>
  <c r="Q40"/>
  <c r="R40"/>
  <c r="J42" i="10"/>
  <c r="K42"/>
  <c r="P41" i="30"/>
  <c r="N41" s="1"/>
  <c r="Q41"/>
  <c r="R41"/>
  <c r="J43" i="10"/>
  <c r="K43" s="1"/>
  <c r="P42" i="30" s="1"/>
  <c r="N42" s="1"/>
  <c r="Q42"/>
  <c r="R42"/>
  <c r="A44"/>
  <c r="A2" i="29"/>
  <c r="B2"/>
  <c r="C4"/>
  <c r="D4"/>
  <c r="E4"/>
  <c r="F4"/>
  <c r="G4"/>
  <c r="H4"/>
  <c r="I4"/>
  <c r="J4"/>
  <c r="K4"/>
  <c r="L4"/>
  <c r="M4"/>
  <c r="N4"/>
  <c r="P4"/>
  <c r="Q4"/>
  <c r="R4"/>
  <c r="A6"/>
  <c r="A29" s="1"/>
  <c r="C6"/>
  <c r="D6"/>
  <c r="E6"/>
  <c r="F6"/>
  <c r="G6"/>
  <c r="H6"/>
  <c r="I6"/>
  <c r="J6"/>
  <c r="K6"/>
  <c r="L6"/>
  <c r="M6"/>
  <c r="A7"/>
  <c r="A30" s="1"/>
  <c r="A8"/>
  <c r="A31" s="1"/>
  <c r="A9"/>
  <c r="A32" s="1"/>
  <c r="A10"/>
  <c r="A33" s="1"/>
  <c r="C10"/>
  <c r="D10"/>
  <c r="E10"/>
  <c r="F10"/>
  <c r="G10"/>
  <c r="H10"/>
  <c r="I10"/>
  <c r="J10"/>
  <c r="K10"/>
  <c r="L10"/>
  <c r="M10"/>
  <c r="A11"/>
  <c r="A34" s="1"/>
  <c r="A12"/>
  <c r="A35" s="1"/>
  <c r="A13"/>
  <c r="A36" s="1"/>
  <c r="A14"/>
  <c r="A37" s="1"/>
  <c r="A15"/>
  <c r="A38" s="1"/>
  <c r="A16"/>
  <c r="A39" s="1"/>
  <c r="C16"/>
  <c r="D16"/>
  <c r="E16"/>
  <c r="F16"/>
  <c r="G16"/>
  <c r="H16"/>
  <c r="H26" s="1"/>
  <c r="I16"/>
  <c r="J16"/>
  <c r="K16"/>
  <c r="L16"/>
  <c r="M16"/>
  <c r="A17"/>
  <c r="A40" s="1"/>
  <c r="A18"/>
  <c r="A41" s="1"/>
  <c r="A19"/>
  <c r="A42" s="1"/>
  <c r="A20"/>
  <c r="A43" s="1"/>
  <c r="A21"/>
  <c r="A44" s="1"/>
  <c r="A22"/>
  <c r="A45" s="1"/>
  <c r="A23"/>
  <c r="A46" s="1"/>
  <c r="A24"/>
  <c r="A47" s="1"/>
  <c r="A25"/>
  <c r="A48" s="1"/>
  <c r="C29"/>
  <c r="D29"/>
  <c r="E29"/>
  <c r="F29"/>
  <c r="G29"/>
  <c r="H29"/>
  <c r="I29"/>
  <c r="J29"/>
  <c r="K29"/>
  <c r="L29"/>
  <c r="M29"/>
  <c r="C33"/>
  <c r="D33"/>
  <c r="E33"/>
  <c r="F33"/>
  <c r="G33"/>
  <c r="H33"/>
  <c r="I33"/>
  <c r="J33"/>
  <c r="K33"/>
  <c r="L33"/>
  <c r="M33"/>
  <c r="C39"/>
  <c r="C49" s="1"/>
  <c r="D39"/>
  <c r="E39"/>
  <c r="E49" s="1"/>
  <c r="F39"/>
  <c r="G39"/>
  <c r="G49" s="1"/>
  <c r="H39"/>
  <c r="I39"/>
  <c r="J39"/>
  <c r="K39"/>
  <c r="L39"/>
  <c r="M39"/>
  <c r="A52"/>
  <c r="A2" i="28"/>
  <c r="B2"/>
  <c r="C4"/>
  <c r="D4"/>
  <c r="E4"/>
  <c r="F4"/>
  <c r="G4"/>
  <c r="H4"/>
  <c r="I4"/>
  <c r="J4"/>
  <c r="K4"/>
  <c r="L4"/>
  <c r="M4"/>
  <c r="N4"/>
  <c r="P4"/>
  <c r="A5"/>
  <c r="A21"/>
  <c r="C21"/>
  <c r="D21"/>
  <c r="E21"/>
  <c r="F21"/>
  <c r="G21"/>
  <c r="H21"/>
  <c r="I21"/>
  <c r="J21"/>
  <c r="K21"/>
  <c r="L21"/>
  <c r="M21"/>
  <c r="A23"/>
  <c r="C39"/>
  <c r="D39"/>
  <c r="E39"/>
  <c r="F39"/>
  <c r="G39"/>
  <c r="G41" s="1"/>
  <c r="H39"/>
  <c r="I39"/>
  <c r="J39"/>
  <c r="K39"/>
  <c r="K41" s="1"/>
  <c r="L39"/>
  <c r="M39"/>
  <c r="C41"/>
  <c r="A42"/>
  <c r="B2" i="27"/>
  <c r="C3"/>
  <c r="D3"/>
  <c r="E3"/>
  <c r="F3"/>
  <c r="G3"/>
  <c r="H3"/>
  <c r="I3"/>
  <c r="J3"/>
  <c r="K3"/>
  <c r="J7"/>
  <c r="K7"/>
  <c r="L7" s="1"/>
  <c r="J8"/>
  <c r="K8"/>
  <c r="L8" s="1"/>
  <c r="J9"/>
  <c r="K9" s="1"/>
  <c r="J10"/>
  <c r="J11"/>
  <c r="K11"/>
  <c r="C14"/>
  <c r="D14"/>
  <c r="G14"/>
  <c r="I14"/>
  <c r="J18"/>
  <c r="K18" s="1"/>
  <c r="L18" s="1"/>
  <c r="J19"/>
  <c r="K19" s="1"/>
  <c r="L19" s="1"/>
  <c r="J20"/>
  <c r="K20"/>
  <c r="L20" s="1"/>
  <c r="K21"/>
  <c r="L21" s="1"/>
  <c r="J23"/>
  <c r="J30" s="1"/>
  <c r="J24"/>
  <c r="K24"/>
  <c r="L24"/>
  <c r="J28"/>
  <c r="K28" s="1"/>
  <c r="L28" s="1"/>
  <c r="J29"/>
  <c r="K29" s="1"/>
  <c r="L29" s="1"/>
  <c r="C30"/>
  <c r="D30"/>
  <c r="D31" s="1"/>
  <c r="E30"/>
  <c r="G30"/>
  <c r="I30"/>
  <c r="A31"/>
  <c r="J34"/>
  <c r="K34"/>
  <c r="L34"/>
  <c r="J35"/>
  <c r="K35" s="1"/>
  <c r="L35" s="1"/>
  <c r="J36"/>
  <c r="K36" s="1"/>
  <c r="J37"/>
  <c r="K37"/>
  <c r="L37" s="1"/>
  <c r="J39"/>
  <c r="K39" s="1"/>
  <c r="L39" s="1"/>
  <c r="J40"/>
  <c r="K40" s="1"/>
  <c r="L40" s="1"/>
  <c r="J43"/>
  <c r="K43" s="1"/>
  <c r="L43" s="1"/>
  <c r="J44"/>
  <c r="K44"/>
  <c r="L44" s="1"/>
  <c r="J45"/>
  <c r="K45" s="1"/>
  <c r="L45"/>
  <c r="C46"/>
  <c r="C101" s="1"/>
  <c r="D46"/>
  <c r="E46"/>
  <c r="E48"/>
  <c r="F46"/>
  <c r="F48" s="1"/>
  <c r="G46"/>
  <c r="H46"/>
  <c r="H48"/>
  <c r="I46"/>
  <c r="A47"/>
  <c r="J52"/>
  <c r="K52" s="1"/>
  <c r="J53"/>
  <c r="K53"/>
  <c r="K65" s="1"/>
  <c r="J54"/>
  <c r="K54" s="1"/>
  <c r="L54" s="1"/>
  <c r="J59"/>
  <c r="K59"/>
  <c r="L59" s="1"/>
  <c r="J60"/>
  <c r="K60"/>
  <c r="J61"/>
  <c r="K61" s="1"/>
  <c r="L61" s="1"/>
  <c r="J62"/>
  <c r="K62"/>
  <c r="L62" s="1"/>
  <c r="J64"/>
  <c r="K64"/>
  <c r="L64"/>
  <c r="C65"/>
  <c r="D65"/>
  <c r="E65"/>
  <c r="F65"/>
  <c r="G65"/>
  <c r="H65"/>
  <c r="I65"/>
  <c r="A66"/>
  <c r="J68"/>
  <c r="K68" s="1"/>
  <c r="K80" s="1"/>
  <c r="L80" s="1"/>
  <c r="J69"/>
  <c r="K69" s="1"/>
  <c r="L69" s="1"/>
  <c r="J70"/>
  <c r="K70"/>
  <c r="L70" s="1"/>
  <c r="J75"/>
  <c r="K75"/>
  <c r="L75"/>
  <c r="J77"/>
  <c r="K77" s="1"/>
  <c r="L77" s="1"/>
  <c r="J78"/>
  <c r="K78"/>
  <c r="L78" s="1"/>
  <c r="J79"/>
  <c r="K79"/>
  <c r="L79" s="1"/>
  <c r="C80"/>
  <c r="D80"/>
  <c r="E80"/>
  <c r="F80"/>
  <c r="G80"/>
  <c r="H80"/>
  <c r="I80"/>
  <c r="A81"/>
  <c r="J83"/>
  <c r="K83" s="1"/>
  <c r="J84"/>
  <c r="K84" s="1"/>
  <c r="L84" s="1"/>
  <c r="J85"/>
  <c r="K85"/>
  <c r="L85" s="1"/>
  <c r="J86"/>
  <c r="K86" s="1"/>
  <c r="L86" s="1"/>
  <c r="J88"/>
  <c r="K88" s="1"/>
  <c r="L88" s="1"/>
  <c r="J89"/>
  <c r="K89"/>
  <c r="L89" s="1"/>
  <c r="J92"/>
  <c r="K92"/>
  <c r="L92"/>
  <c r="J93"/>
  <c r="K93" s="1"/>
  <c r="L93" s="1"/>
  <c r="J94"/>
  <c r="K94"/>
  <c r="L94" s="1"/>
  <c r="C95"/>
  <c r="C97" s="1"/>
  <c r="D95"/>
  <c r="E95"/>
  <c r="F95"/>
  <c r="F97" s="1"/>
  <c r="G95"/>
  <c r="G101" s="1"/>
  <c r="H95"/>
  <c r="I95"/>
  <c r="I97" s="1"/>
  <c r="A96"/>
  <c r="A100"/>
  <c r="A102"/>
  <c r="A2" i="26"/>
  <c r="B2"/>
  <c r="C3"/>
  <c r="D3"/>
  <c r="E3"/>
  <c r="F3"/>
  <c r="G3"/>
  <c r="H3"/>
  <c r="I3"/>
  <c r="J3"/>
  <c r="K3"/>
  <c r="L3"/>
  <c r="M3"/>
  <c r="J7"/>
  <c r="K7" s="1"/>
  <c r="K10" s="1"/>
  <c r="J8"/>
  <c r="K8"/>
  <c r="J9"/>
  <c r="K9"/>
  <c r="C10"/>
  <c r="D10"/>
  <c r="E10"/>
  <c r="F10"/>
  <c r="F30" s="1"/>
  <c r="F57" s="1"/>
  <c r="G10"/>
  <c r="H10"/>
  <c r="H30" s="1"/>
  <c r="H57"/>
  <c r="I10"/>
  <c r="L10"/>
  <c r="M10"/>
  <c r="J13"/>
  <c r="J14"/>
  <c r="K14" s="1"/>
  <c r="J15"/>
  <c r="K15" s="1"/>
  <c r="C16"/>
  <c r="D16"/>
  <c r="E16"/>
  <c r="F16"/>
  <c r="G16"/>
  <c r="G30" s="1"/>
  <c r="G57" s="1"/>
  <c r="H16"/>
  <c r="L16"/>
  <c r="M16"/>
  <c r="J19"/>
  <c r="K19" s="1"/>
  <c r="J20"/>
  <c r="K20" s="1"/>
  <c r="J21"/>
  <c r="K21" s="1"/>
  <c r="C22"/>
  <c r="D22"/>
  <c r="E22"/>
  <c r="F22"/>
  <c r="G22"/>
  <c r="H22"/>
  <c r="I22"/>
  <c r="L22"/>
  <c r="M22"/>
  <c r="J25"/>
  <c r="K25" s="1"/>
  <c r="J26"/>
  <c r="K26"/>
  <c r="J27"/>
  <c r="K27" s="1"/>
  <c r="C28"/>
  <c r="D28"/>
  <c r="E28"/>
  <c r="F28"/>
  <c r="G28"/>
  <c r="H28"/>
  <c r="I28"/>
  <c r="L28"/>
  <c r="M28"/>
  <c r="A2" i="25"/>
  <c r="B2"/>
  <c r="C3"/>
  <c r="D3"/>
  <c r="E3"/>
  <c r="F3"/>
  <c r="G3"/>
  <c r="H3"/>
  <c r="I3"/>
  <c r="J3"/>
  <c r="K3"/>
  <c r="H9"/>
  <c r="I9"/>
  <c r="C10"/>
  <c r="D10"/>
  <c r="E10"/>
  <c r="F10"/>
  <c r="F27" s="1"/>
  <c r="H11"/>
  <c r="I11" s="1"/>
  <c r="J10"/>
  <c r="K10"/>
  <c r="H13"/>
  <c r="I13" s="1"/>
  <c r="A14"/>
  <c r="A19" s="1"/>
  <c r="H14"/>
  <c r="A15"/>
  <c r="A20"/>
  <c r="C15"/>
  <c r="D15"/>
  <c r="E15"/>
  <c r="F15"/>
  <c r="G15"/>
  <c r="J15"/>
  <c r="K15"/>
  <c r="A16"/>
  <c r="A21" s="1"/>
  <c r="A18"/>
  <c r="H18"/>
  <c r="I18"/>
  <c r="H19"/>
  <c r="C20"/>
  <c r="D20"/>
  <c r="E20"/>
  <c r="F20"/>
  <c r="G20"/>
  <c r="H21"/>
  <c r="I21"/>
  <c r="J20"/>
  <c r="K20"/>
  <c r="A23"/>
  <c r="H23"/>
  <c r="I23" s="1"/>
  <c r="A24"/>
  <c r="H24"/>
  <c r="A25"/>
  <c r="C25"/>
  <c r="D25"/>
  <c r="E25"/>
  <c r="F25"/>
  <c r="G25"/>
  <c r="H26"/>
  <c r="I26" s="1"/>
  <c r="J25"/>
  <c r="K25"/>
  <c r="A26"/>
  <c r="C28"/>
  <c r="D28"/>
  <c r="E28"/>
  <c r="F28"/>
  <c r="J28"/>
  <c r="K28"/>
  <c r="A31"/>
  <c r="C34"/>
  <c r="D34"/>
  <c r="E34"/>
  <c r="H35"/>
  <c r="I35" s="1"/>
  <c r="J34"/>
  <c r="J51" s="1"/>
  <c r="K34"/>
  <c r="H37"/>
  <c r="I37" s="1"/>
  <c r="A38"/>
  <c r="A48"/>
  <c r="H38"/>
  <c r="I38" s="1"/>
  <c r="A39"/>
  <c r="C39"/>
  <c r="D39"/>
  <c r="E39"/>
  <c r="F39"/>
  <c r="G39"/>
  <c r="H40"/>
  <c r="I40" s="1"/>
  <c r="J39"/>
  <c r="K39"/>
  <c r="A40"/>
  <c r="A45"/>
  <c r="A42"/>
  <c r="H42"/>
  <c r="A43"/>
  <c r="H43"/>
  <c r="I43" s="1"/>
  <c r="I44" s="1"/>
  <c r="C44"/>
  <c r="D44"/>
  <c r="E44"/>
  <c r="F44"/>
  <c r="G44"/>
  <c r="H45"/>
  <c r="I45"/>
  <c r="J44"/>
  <c r="K44"/>
  <c r="A47"/>
  <c r="H47"/>
  <c r="H49" s="1"/>
  <c r="H48"/>
  <c r="C49"/>
  <c r="D49"/>
  <c r="E49"/>
  <c r="F49"/>
  <c r="G49"/>
  <c r="H50"/>
  <c r="I50" s="1"/>
  <c r="J49"/>
  <c r="K49"/>
  <c r="C52"/>
  <c r="C55" s="1"/>
  <c r="D52"/>
  <c r="E52"/>
  <c r="F52"/>
  <c r="F55" s="1"/>
  <c r="G52"/>
  <c r="J52"/>
  <c r="K52"/>
  <c r="A57"/>
  <c r="A2" i="24"/>
  <c r="B2"/>
  <c r="C3"/>
  <c r="D3"/>
  <c r="E3"/>
  <c r="F3"/>
  <c r="G3"/>
  <c r="H3"/>
  <c r="I3"/>
  <c r="J3"/>
  <c r="K3"/>
  <c r="C9"/>
  <c r="D9"/>
  <c r="E9"/>
  <c r="F9"/>
  <c r="F29" s="1"/>
  <c r="G9"/>
  <c r="H10"/>
  <c r="I10" s="1"/>
  <c r="H11"/>
  <c r="I11" s="1"/>
  <c r="H12"/>
  <c r="I12" s="1"/>
  <c r="H13"/>
  <c r="I13" s="1"/>
  <c r="H14"/>
  <c r="I14" s="1"/>
  <c r="H15"/>
  <c r="I15" s="1"/>
  <c r="H16"/>
  <c r="I16" s="1"/>
  <c r="J9"/>
  <c r="K9"/>
  <c r="A10"/>
  <c r="A11"/>
  <c r="A12"/>
  <c r="A13"/>
  <c r="A14"/>
  <c r="A15"/>
  <c r="A16"/>
  <c r="C17"/>
  <c r="C29" s="1"/>
  <c r="D17"/>
  <c r="E17"/>
  <c r="F17"/>
  <c r="G17"/>
  <c r="H18"/>
  <c r="H19"/>
  <c r="I19"/>
  <c r="H20"/>
  <c r="H21"/>
  <c r="H22"/>
  <c r="I18"/>
  <c r="I20"/>
  <c r="I22"/>
  <c r="J17"/>
  <c r="J29" s="1"/>
  <c r="K17"/>
  <c r="A18"/>
  <c r="A19"/>
  <c r="A20"/>
  <c r="A21"/>
  <c r="A22"/>
  <c r="C23"/>
  <c r="D23"/>
  <c r="E23"/>
  <c r="F23"/>
  <c r="G23"/>
  <c r="H25"/>
  <c r="J23"/>
  <c r="K23"/>
  <c r="A24"/>
  <c r="H24"/>
  <c r="A25"/>
  <c r="C26"/>
  <c r="D26"/>
  <c r="D29" s="1"/>
  <c r="E26"/>
  <c r="F26"/>
  <c r="G26"/>
  <c r="H28"/>
  <c r="I28"/>
  <c r="J26"/>
  <c r="K26"/>
  <c r="A27"/>
  <c r="H27"/>
  <c r="A28"/>
  <c r="C32"/>
  <c r="D32"/>
  <c r="E32"/>
  <c r="E48" s="1"/>
  <c r="G32"/>
  <c r="H33"/>
  <c r="I33" s="1"/>
  <c r="H34"/>
  <c r="I34" s="1"/>
  <c r="H35"/>
  <c r="I35" s="1"/>
  <c r="H36"/>
  <c r="I36" s="1"/>
  <c r="H37"/>
  <c r="I37" s="1"/>
  <c r="J32"/>
  <c r="J48" s="1"/>
  <c r="K32"/>
  <c r="A33"/>
  <c r="A34"/>
  <c r="A35"/>
  <c r="A36"/>
  <c r="A37"/>
  <c r="A38"/>
  <c r="C39"/>
  <c r="D39"/>
  <c r="E39"/>
  <c r="F39"/>
  <c r="G39"/>
  <c r="H41"/>
  <c r="I41" s="1"/>
  <c r="J39"/>
  <c r="K39"/>
  <c r="A40"/>
  <c r="H40"/>
  <c r="A41"/>
  <c r="C42"/>
  <c r="D42"/>
  <c r="E42"/>
  <c r="F42"/>
  <c r="G42"/>
  <c r="H44"/>
  <c r="I44" s="1"/>
  <c r="J42"/>
  <c r="K42"/>
  <c r="A43"/>
  <c r="H43"/>
  <c r="A44"/>
  <c r="C45"/>
  <c r="D45"/>
  <c r="E45"/>
  <c r="F45"/>
  <c r="G45"/>
  <c r="H47"/>
  <c r="I47"/>
  <c r="J45"/>
  <c r="K45"/>
  <c r="A46"/>
  <c r="H46"/>
  <c r="I46" s="1"/>
  <c r="I45" s="1"/>
  <c r="A47"/>
  <c r="A51"/>
  <c r="A2" i="23"/>
  <c r="B2"/>
  <c r="C3"/>
  <c r="D3"/>
  <c r="E3"/>
  <c r="F3"/>
  <c r="G3"/>
  <c r="H3"/>
  <c r="I3"/>
  <c r="J3"/>
  <c r="K3"/>
  <c r="C9"/>
  <c r="C29" s="1"/>
  <c r="D9"/>
  <c r="E9"/>
  <c r="E29" s="1"/>
  <c r="F9"/>
  <c r="G9"/>
  <c r="H10"/>
  <c r="I10" s="1"/>
  <c r="H11"/>
  <c r="H12"/>
  <c r="I12" s="1"/>
  <c r="H13"/>
  <c r="H14"/>
  <c r="I14" s="1"/>
  <c r="H15"/>
  <c r="I15" s="1"/>
  <c r="H16"/>
  <c r="I13"/>
  <c r="I16"/>
  <c r="J9"/>
  <c r="K9"/>
  <c r="C17"/>
  <c r="D17"/>
  <c r="D29" s="1"/>
  <c r="E17"/>
  <c r="F17"/>
  <c r="G17"/>
  <c r="G29"/>
  <c r="G49" s="1"/>
  <c r="H18"/>
  <c r="H19"/>
  <c r="I19"/>
  <c r="H20"/>
  <c r="I20" s="1"/>
  <c r="H21"/>
  <c r="I21" s="1"/>
  <c r="H22"/>
  <c r="I22"/>
  <c r="J17"/>
  <c r="K17"/>
  <c r="C23"/>
  <c r="D23"/>
  <c r="E23"/>
  <c r="F23"/>
  <c r="G23"/>
  <c r="H25"/>
  <c r="I25"/>
  <c r="J23"/>
  <c r="K23"/>
  <c r="H24"/>
  <c r="I24"/>
  <c r="I23" s="1"/>
  <c r="C26"/>
  <c r="D26"/>
  <c r="E26"/>
  <c r="F26"/>
  <c r="G26"/>
  <c r="H28"/>
  <c r="J26"/>
  <c r="K26"/>
  <c r="H27"/>
  <c r="I27" s="1"/>
  <c r="A32"/>
  <c r="C32"/>
  <c r="D32"/>
  <c r="E32"/>
  <c r="F32"/>
  <c r="G32"/>
  <c r="H33"/>
  <c r="I33" s="1"/>
  <c r="H34"/>
  <c r="H35"/>
  <c r="I35" s="1"/>
  <c r="H36"/>
  <c r="I36" s="1"/>
  <c r="H37"/>
  <c r="I37" s="1"/>
  <c r="H38"/>
  <c r="I38" s="1"/>
  <c r="J32"/>
  <c r="K32"/>
  <c r="K48" s="1"/>
  <c r="A39"/>
  <c r="C39"/>
  <c r="D39"/>
  <c r="E39"/>
  <c r="F39"/>
  <c r="F48" s="1"/>
  <c r="G39"/>
  <c r="H41"/>
  <c r="I41"/>
  <c r="J39"/>
  <c r="J48" s="1"/>
  <c r="K39"/>
  <c r="H40"/>
  <c r="I40"/>
  <c r="I39" s="1"/>
  <c r="A42"/>
  <c r="C42"/>
  <c r="D42"/>
  <c r="E42"/>
  <c r="F42"/>
  <c r="G42"/>
  <c r="H44"/>
  <c r="I44"/>
  <c r="J42"/>
  <c r="K42"/>
  <c r="H43"/>
  <c r="H42"/>
  <c r="A45"/>
  <c r="C45"/>
  <c r="D45"/>
  <c r="E45"/>
  <c r="F45"/>
  <c r="G45"/>
  <c r="H47"/>
  <c r="I47"/>
  <c r="J45"/>
  <c r="K45"/>
  <c r="H46"/>
  <c r="I46"/>
  <c r="I45"/>
  <c r="A50"/>
  <c r="A2" i="22"/>
  <c r="B2"/>
  <c r="B2" i="39"/>
  <c r="F2" i="22" s="1"/>
  <c r="G2"/>
  <c r="D3"/>
  <c r="E3"/>
  <c r="F3"/>
  <c r="G3"/>
  <c r="J9" i="13"/>
  <c r="K9"/>
  <c r="J10"/>
  <c r="K10" s="1"/>
  <c r="J11"/>
  <c r="K11" s="1"/>
  <c r="J12"/>
  <c r="K12"/>
  <c r="J15"/>
  <c r="K15" s="1"/>
  <c r="J21"/>
  <c r="J22"/>
  <c r="K22" s="1"/>
  <c r="J23"/>
  <c r="K23" s="1"/>
  <c r="J24"/>
  <c r="K24" s="1"/>
  <c r="J31"/>
  <c r="K31"/>
  <c r="J32"/>
  <c r="K32"/>
  <c r="J33"/>
  <c r="K33" s="1"/>
  <c r="J35"/>
  <c r="K35" s="1"/>
  <c r="J39"/>
  <c r="K39" s="1"/>
  <c r="L36"/>
  <c r="M36"/>
  <c r="L46" i="7" s="1"/>
  <c r="C10" i="18"/>
  <c r="C9" i="12"/>
  <c r="C9" i="14"/>
  <c r="C13"/>
  <c r="C50"/>
  <c r="C18" s="1"/>
  <c r="C53"/>
  <c r="C54"/>
  <c r="C55"/>
  <c r="C56"/>
  <c r="D27" i="13"/>
  <c r="C45" i="7" s="1"/>
  <c r="D36" i="13"/>
  <c r="C46" i="7" s="1"/>
  <c r="E36" i="13"/>
  <c r="D46" i="7" s="1"/>
  <c r="F27" i="13"/>
  <c r="F36"/>
  <c r="G27"/>
  <c r="G38" s="1"/>
  <c r="G40" s="1"/>
  <c r="G36"/>
  <c r="H27"/>
  <c r="H38" s="1"/>
  <c r="H40" s="1"/>
  <c r="H7" i="14" s="1"/>
  <c r="H36" i="13"/>
  <c r="I36"/>
  <c r="D10" i="18"/>
  <c r="D9" i="12" s="1"/>
  <c r="E10" i="18"/>
  <c r="E9" i="12" s="1"/>
  <c r="F10" i="18"/>
  <c r="F9" i="12" s="1"/>
  <c r="G10" i="18"/>
  <c r="G9" i="12" s="1"/>
  <c r="H10" i="18"/>
  <c r="H9" i="12"/>
  <c r="I10" i="18"/>
  <c r="I9" i="12"/>
  <c r="D9" i="14"/>
  <c r="E9"/>
  <c r="F9"/>
  <c r="G9"/>
  <c r="H9"/>
  <c r="I9"/>
  <c r="D13"/>
  <c r="E13"/>
  <c r="E20" s="1"/>
  <c r="D51" i="7" s="1"/>
  <c r="F13" i="14"/>
  <c r="F20" s="1"/>
  <c r="E51" i="7" s="1"/>
  <c r="G13" i="14"/>
  <c r="G20" s="1"/>
  <c r="F51" i="7" s="1"/>
  <c r="H13" i="14"/>
  <c r="H20" s="1"/>
  <c r="G51" i="7" s="1"/>
  <c r="I13" i="14"/>
  <c r="J15"/>
  <c r="K15"/>
  <c r="J17"/>
  <c r="K17" s="1"/>
  <c r="K50"/>
  <c r="K18" s="1"/>
  <c r="J56" i="18"/>
  <c r="J57"/>
  <c r="K57" s="1"/>
  <c r="J58"/>
  <c r="K58" s="1"/>
  <c r="K55" i="14" s="1"/>
  <c r="J59" i="18"/>
  <c r="K59" s="1"/>
  <c r="K56" i="14" s="1"/>
  <c r="L10" i="18"/>
  <c r="L9" i="12"/>
  <c r="L9" i="14"/>
  <c r="L13"/>
  <c r="J12" i="12"/>
  <c r="K12" s="1"/>
  <c r="J17"/>
  <c r="K17" s="1"/>
  <c r="J16" i="22" s="1"/>
  <c r="L35" i="18"/>
  <c r="L50" i="14"/>
  <c r="L18" s="1"/>
  <c r="L53"/>
  <c r="L54"/>
  <c r="L55"/>
  <c r="L56"/>
  <c r="M10" i="18"/>
  <c r="M9" i="12" s="1"/>
  <c r="M9" i="14"/>
  <c r="M13"/>
  <c r="M35" i="18"/>
  <c r="M50" i="14"/>
  <c r="M18" s="1"/>
  <c r="J52" i="18"/>
  <c r="K52"/>
  <c r="C72" i="11"/>
  <c r="J74"/>
  <c r="K74" s="1"/>
  <c r="L72"/>
  <c r="L76" s="1"/>
  <c r="M72"/>
  <c r="M76" s="1"/>
  <c r="G14" i="22"/>
  <c r="J14"/>
  <c r="K14"/>
  <c r="C59" i="15"/>
  <c r="C67" s="1"/>
  <c r="B55" i="7" s="1"/>
  <c r="D59" i="15"/>
  <c r="J54"/>
  <c r="J59" s="1"/>
  <c r="J55"/>
  <c r="K55" s="1"/>
  <c r="J56"/>
  <c r="K56" s="1"/>
  <c r="J57"/>
  <c r="K57" s="1"/>
  <c r="J58"/>
  <c r="K58" s="1"/>
  <c r="J60"/>
  <c r="K60" s="1"/>
  <c r="J61"/>
  <c r="K61" s="1"/>
  <c r="J62"/>
  <c r="K62" s="1"/>
  <c r="J63"/>
  <c r="K63" s="1"/>
  <c r="J64"/>
  <c r="K64"/>
  <c r="J66"/>
  <c r="K66"/>
  <c r="L59"/>
  <c r="L67" s="1"/>
  <c r="M59"/>
  <c r="M67" s="1"/>
  <c r="L55" i="7" s="1"/>
  <c r="C18" i="22"/>
  <c r="D23" i="15"/>
  <c r="D25"/>
  <c r="D26"/>
  <c r="E23"/>
  <c r="F23"/>
  <c r="G23"/>
  <c r="H23"/>
  <c r="I23"/>
  <c r="F24"/>
  <c r="G24"/>
  <c r="H24"/>
  <c r="E25"/>
  <c r="F25"/>
  <c r="G25"/>
  <c r="H25"/>
  <c r="I25"/>
  <c r="F26"/>
  <c r="H26"/>
  <c r="E27"/>
  <c r="G27"/>
  <c r="H27"/>
  <c r="I27"/>
  <c r="D29"/>
  <c r="E29"/>
  <c r="H29"/>
  <c r="I29"/>
  <c r="D30"/>
  <c r="E30"/>
  <c r="F30"/>
  <c r="G30"/>
  <c r="H30"/>
  <c r="I30"/>
  <c r="D31"/>
  <c r="E31"/>
  <c r="F31"/>
  <c r="H31"/>
  <c r="I31"/>
  <c r="D33"/>
  <c r="E33"/>
  <c r="H33"/>
  <c r="I33"/>
  <c r="D35"/>
  <c r="E35"/>
  <c r="F35"/>
  <c r="G35"/>
  <c r="H35"/>
  <c r="I35"/>
  <c r="G8"/>
  <c r="E9"/>
  <c r="F9"/>
  <c r="F10"/>
  <c r="G10"/>
  <c r="H10"/>
  <c r="I10"/>
  <c r="E11"/>
  <c r="G11"/>
  <c r="H11"/>
  <c r="I11"/>
  <c r="E12"/>
  <c r="F12"/>
  <c r="G12"/>
  <c r="H12"/>
  <c r="E14"/>
  <c r="H14"/>
  <c r="E15"/>
  <c r="F15"/>
  <c r="G15"/>
  <c r="H15"/>
  <c r="I15"/>
  <c r="G16"/>
  <c r="H16"/>
  <c r="F17"/>
  <c r="G17"/>
  <c r="F18"/>
  <c r="G18"/>
  <c r="H18"/>
  <c r="I18"/>
  <c r="D34"/>
  <c r="E19"/>
  <c r="E34"/>
  <c r="F34"/>
  <c r="G34"/>
  <c r="H19"/>
  <c r="H34"/>
  <c r="I19"/>
  <c r="E20"/>
  <c r="F20"/>
  <c r="G20"/>
  <c r="I20"/>
  <c r="L24"/>
  <c r="L26"/>
  <c r="L27"/>
  <c r="L30"/>
  <c r="L31"/>
  <c r="L32"/>
  <c r="L34"/>
  <c r="L35"/>
  <c r="L11"/>
  <c r="L12"/>
  <c r="L15"/>
  <c r="L16"/>
  <c r="L18"/>
  <c r="L19"/>
  <c r="M24"/>
  <c r="M26"/>
  <c r="M29"/>
  <c r="M30"/>
  <c r="M32"/>
  <c r="M33"/>
  <c r="M34"/>
  <c r="M35"/>
  <c r="M8"/>
  <c r="M10"/>
  <c r="M11"/>
  <c r="M12"/>
  <c r="M14"/>
  <c r="M15"/>
  <c r="M18"/>
  <c r="M20"/>
  <c r="A19" i="22"/>
  <c r="C2" i="21"/>
  <c r="D2"/>
  <c r="I2"/>
  <c r="J2"/>
  <c r="K2"/>
  <c r="C39"/>
  <c r="D39"/>
  <c r="E39"/>
  <c r="F39"/>
  <c r="G39"/>
  <c r="H39"/>
  <c r="I39"/>
  <c r="J39"/>
  <c r="K39"/>
  <c r="C43"/>
  <c r="D43"/>
  <c r="E43"/>
  <c r="F43"/>
  <c r="G43"/>
  <c r="H43"/>
  <c r="I43"/>
  <c r="J43"/>
  <c r="K43"/>
  <c r="A60"/>
  <c r="A2" i="20"/>
  <c r="C3"/>
  <c r="D3"/>
  <c r="E3"/>
  <c r="F3"/>
  <c r="H3"/>
  <c r="I3"/>
  <c r="J3"/>
  <c r="C39" i="18"/>
  <c r="C39" i="12" s="1"/>
  <c r="D39" i="18"/>
  <c r="D39" i="12" s="1"/>
  <c r="E39" i="18"/>
  <c r="E39" i="12" s="1"/>
  <c r="F39" i="18"/>
  <c r="F39" i="12"/>
  <c r="G39" i="18"/>
  <c r="G39" i="12"/>
  <c r="H39" i="18"/>
  <c r="H39" i="12"/>
  <c r="I39" i="18"/>
  <c r="I39" i="12"/>
  <c r="J8"/>
  <c r="K8" s="1"/>
  <c r="J13"/>
  <c r="K13"/>
  <c r="J18"/>
  <c r="K18" s="1"/>
  <c r="J19"/>
  <c r="K19" s="1"/>
  <c r="D24" i="18"/>
  <c r="D21" i="12" s="1"/>
  <c r="E24" i="18"/>
  <c r="E21" i="12" s="1"/>
  <c r="E26" s="1"/>
  <c r="D38" i="7" s="1"/>
  <c r="F24" i="18"/>
  <c r="F21" i="12"/>
  <c r="F26" s="1"/>
  <c r="E38" i="7" s="1"/>
  <c r="G24" i="18"/>
  <c r="G21" i="12" s="1"/>
  <c r="G106" i="15" s="1"/>
  <c r="J22" i="12"/>
  <c r="K22" s="1"/>
  <c r="J23"/>
  <c r="K23"/>
  <c r="J24"/>
  <c r="K24" s="1"/>
  <c r="J25"/>
  <c r="K25" s="1"/>
  <c r="L39" i="18"/>
  <c r="L39" i="12" s="1"/>
  <c r="L24" i="18"/>
  <c r="L21" i="12" s="1"/>
  <c r="L26" s="1"/>
  <c r="K38" i="7" s="1"/>
  <c r="M39" i="18"/>
  <c r="M39" i="12" s="1"/>
  <c r="M24" i="18"/>
  <c r="M21" i="12" s="1"/>
  <c r="M26" s="1"/>
  <c r="C30" i="18"/>
  <c r="C32" i="12" s="1"/>
  <c r="C40"/>
  <c r="C61" i="18"/>
  <c r="J31" i="12"/>
  <c r="K31"/>
  <c r="D30" i="18"/>
  <c r="D32" i="12" s="1"/>
  <c r="E30" i="18"/>
  <c r="E32" i="12"/>
  <c r="F30" i="18"/>
  <c r="F32" i="12" s="1"/>
  <c r="G30" i="18"/>
  <c r="G32" i="12"/>
  <c r="H30" i="18"/>
  <c r="H32" i="12" s="1"/>
  <c r="I30" i="18"/>
  <c r="I32" i="12"/>
  <c r="J35"/>
  <c r="K35" s="1"/>
  <c r="D45" i="18"/>
  <c r="D40" i="12" s="1"/>
  <c r="E45" i="18"/>
  <c r="E40" i="12" s="1"/>
  <c r="F45" i="18"/>
  <c r="F40" i="12"/>
  <c r="G45" i="18"/>
  <c r="G40" i="12" s="1"/>
  <c r="H45" i="18"/>
  <c r="H40" i="12"/>
  <c r="I45" i="18"/>
  <c r="I40" i="12" s="1"/>
  <c r="D61" i="18"/>
  <c r="D48" i="12"/>
  <c r="E61" i="18"/>
  <c r="E48" i="12" s="1"/>
  <c r="F61" i="18"/>
  <c r="F48" i="12"/>
  <c r="G61" i="18"/>
  <c r="G48" i="12" s="1"/>
  <c r="H61" i="18"/>
  <c r="H48" i="12"/>
  <c r="I61" i="18"/>
  <c r="L30"/>
  <c r="L32" i="12"/>
  <c r="L45" i="18"/>
  <c r="L40" i="12" s="1"/>
  <c r="L61" i="18"/>
  <c r="L48" i="12"/>
  <c r="M30" i="18"/>
  <c r="M32" i="12" s="1"/>
  <c r="M45" i="18"/>
  <c r="M40" i="12" s="1"/>
  <c r="M61" i="18"/>
  <c r="M48" i="12" s="1"/>
  <c r="F19" i="20"/>
  <c r="I19"/>
  <c r="J19"/>
  <c r="A37"/>
  <c r="A2" i="19"/>
  <c r="C3"/>
  <c r="D3"/>
  <c r="E3"/>
  <c r="F3"/>
  <c r="G3"/>
  <c r="H3"/>
  <c r="I3"/>
  <c r="J3"/>
  <c r="K3"/>
  <c r="L3"/>
  <c r="M3"/>
  <c r="J17"/>
  <c r="K17" s="1"/>
  <c r="L17" s="1"/>
  <c r="M17" s="1"/>
  <c r="J20"/>
  <c r="K20" s="1"/>
  <c r="L20" s="1"/>
  <c r="M20" s="1"/>
  <c r="J152"/>
  <c r="K152" s="1"/>
  <c r="L152" s="1"/>
  <c r="M152" s="1"/>
  <c r="J156"/>
  <c r="K156" s="1"/>
  <c r="L156" s="1"/>
  <c r="M156" s="1"/>
  <c r="J158"/>
  <c r="K158" s="1"/>
  <c r="L158" s="1"/>
  <c r="M158" s="1"/>
  <c r="J160"/>
  <c r="K160" s="1"/>
  <c r="L160" s="1"/>
  <c r="M160" s="1"/>
  <c r="J162"/>
  <c r="K162" s="1"/>
  <c r="L162" s="1"/>
  <c r="M162" s="1"/>
  <c r="J166"/>
  <c r="K166" s="1"/>
  <c r="L166" s="1"/>
  <c r="M166" s="1"/>
  <c r="J168"/>
  <c r="K168" s="1"/>
  <c r="L168" s="1"/>
  <c r="M168" s="1"/>
  <c r="J170"/>
  <c r="K170" s="1"/>
  <c r="L170" s="1"/>
  <c r="M170" s="1"/>
  <c r="J172"/>
  <c r="K172" s="1"/>
  <c r="L172" s="1"/>
  <c r="M172" s="1"/>
  <c r="J175"/>
  <c r="K175" s="1"/>
  <c r="L175" s="1"/>
  <c r="M175" s="1"/>
  <c r="J177"/>
  <c r="K177" s="1"/>
  <c r="L177" s="1"/>
  <c r="M177" s="1"/>
  <c r="J179"/>
  <c r="K179" s="1"/>
  <c r="L179" s="1"/>
  <c r="M179" s="1"/>
  <c r="J183"/>
  <c r="K183" s="1"/>
  <c r="L183" s="1"/>
  <c r="M183" s="1"/>
  <c r="J185"/>
  <c r="K185" s="1"/>
  <c r="L185" s="1"/>
  <c r="M185" s="1"/>
  <c r="J188"/>
  <c r="K188" s="1"/>
  <c r="L188" s="1"/>
  <c r="M188" s="1"/>
  <c r="J190"/>
  <c r="K190" s="1"/>
  <c r="L190" s="1"/>
  <c r="M190" s="1"/>
  <c r="J192"/>
  <c r="K192" s="1"/>
  <c r="L192" s="1"/>
  <c r="M192" s="1"/>
  <c r="J195"/>
  <c r="K195" s="1"/>
  <c r="L195" s="1"/>
  <c r="M195" s="1"/>
  <c r="J197"/>
  <c r="K197" s="1"/>
  <c r="L197" s="1"/>
  <c r="M197" s="1"/>
  <c r="J199"/>
  <c r="K199" s="1"/>
  <c r="L199" s="1"/>
  <c r="M199" s="1"/>
  <c r="J201"/>
  <c r="K201" s="1"/>
  <c r="L201" s="1"/>
  <c r="M201" s="1"/>
  <c r="J203"/>
  <c r="K203" s="1"/>
  <c r="L203" s="1"/>
  <c r="M203" s="1"/>
  <c r="J205"/>
  <c r="K205" s="1"/>
  <c r="L205" s="1"/>
  <c r="M205" s="1"/>
  <c r="A206"/>
  <c r="A2" i="18"/>
  <c r="B2"/>
  <c r="C3"/>
  <c r="D3"/>
  <c r="E3"/>
  <c r="F3"/>
  <c r="G3"/>
  <c r="H3"/>
  <c r="I3"/>
  <c r="J3"/>
  <c r="K3"/>
  <c r="L3"/>
  <c r="M3"/>
  <c r="J8"/>
  <c r="K8" s="1"/>
  <c r="J9"/>
  <c r="K9" s="1"/>
  <c r="K10" s="1"/>
  <c r="A10"/>
  <c r="A12"/>
  <c r="J12"/>
  <c r="K12" s="1"/>
  <c r="A14"/>
  <c r="J16"/>
  <c r="K16"/>
  <c r="J17"/>
  <c r="K17" s="1"/>
  <c r="J18"/>
  <c r="K18"/>
  <c r="J22"/>
  <c r="K22" s="1"/>
  <c r="J23"/>
  <c r="K23" s="1"/>
  <c r="A24"/>
  <c r="J28"/>
  <c r="K28" s="1"/>
  <c r="J29"/>
  <c r="K29" s="1"/>
  <c r="K30" s="1"/>
  <c r="A30"/>
  <c r="J32"/>
  <c r="J33"/>
  <c r="K33" s="1"/>
  <c r="J34"/>
  <c r="K34" s="1"/>
  <c r="A35"/>
  <c r="J37"/>
  <c r="K37" s="1"/>
  <c r="J38"/>
  <c r="K38" s="1"/>
  <c r="A39"/>
  <c r="J41"/>
  <c r="K41" s="1"/>
  <c r="J42"/>
  <c r="K42" s="1"/>
  <c r="J43"/>
  <c r="K43" s="1"/>
  <c r="J44"/>
  <c r="K44"/>
  <c r="A45"/>
  <c r="A49"/>
  <c r="J49"/>
  <c r="K49" s="1"/>
  <c r="J50"/>
  <c r="K50" s="1"/>
  <c r="J51"/>
  <c r="K51"/>
  <c r="J53"/>
  <c r="K53" s="1"/>
  <c r="D54"/>
  <c r="D62" s="1"/>
  <c r="E54"/>
  <c r="E47" i="12" s="1"/>
  <c r="F54" i="18"/>
  <c r="F47" i="12" s="1"/>
  <c r="G54" i="18"/>
  <c r="G62" s="1"/>
  <c r="H54"/>
  <c r="H47" i="12" s="1"/>
  <c r="I47"/>
  <c r="L54" i="18"/>
  <c r="L62" s="1"/>
  <c r="M54"/>
  <c r="J60"/>
  <c r="K60" s="1"/>
  <c r="J65"/>
  <c r="K65"/>
  <c r="J66"/>
  <c r="K66" s="1"/>
  <c r="A68"/>
  <c r="A2" i="17"/>
  <c r="B2"/>
  <c r="C3"/>
  <c r="D3"/>
  <c r="E3"/>
  <c r="F3"/>
  <c r="G3"/>
  <c r="H3"/>
  <c r="I3"/>
  <c r="J3"/>
  <c r="K3"/>
  <c r="L3"/>
  <c r="M3"/>
  <c r="J8"/>
  <c r="K8" s="1"/>
  <c r="J9"/>
  <c r="J13"/>
  <c r="K13" s="1"/>
  <c r="K15" s="1"/>
  <c r="J14"/>
  <c r="K14"/>
  <c r="J18"/>
  <c r="J19"/>
  <c r="J23"/>
  <c r="J24"/>
  <c r="K24" s="1"/>
  <c r="J28"/>
  <c r="K28" s="1"/>
  <c r="J30"/>
  <c r="K30" s="1"/>
  <c r="J34"/>
  <c r="K34"/>
  <c r="J40"/>
  <c r="K40" s="1"/>
  <c r="J41"/>
  <c r="K41" s="1"/>
  <c r="J42"/>
  <c r="K42" s="1"/>
  <c r="J43"/>
  <c r="K43" s="1"/>
  <c r="J44"/>
  <c r="J48"/>
  <c r="K48" s="1"/>
  <c r="J49"/>
  <c r="K49" s="1"/>
  <c r="J50"/>
  <c r="K50" s="1"/>
  <c r="J51"/>
  <c r="K51" s="1"/>
  <c r="J53"/>
  <c r="K53" s="1"/>
  <c r="A54"/>
  <c r="J57"/>
  <c r="K57" s="1"/>
  <c r="K59" s="1"/>
  <c r="J58"/>
  <c r="K58"/>
  <c r="A59"/>
  <c r="C59"/>
  <c r="D59"/>
  <c r="E59"/>
  <c r="F59"/>
  <c r="G59"/>
  <c r="H59"/>
  <c r="I59"/>
  <c r="L59"/>
  <c r="M59"/>
  <c r="J62"/>
  <c r="J66" s="1"/>
  <c r="J63"/>
  <c r="K63" s="1"/>
  <c r="J64"/>
  <c r="K64"/>
  <c r="A66"/>
  <c r="J69"/>
  <c r="K69" s="1"/>
  <c r="J70"/>
  <c r="K70"/>
  <c r="J74"/>
  <c r="K74" s="1"/>
  <c r="K88" s="1"/>
  <c r="K94" s="1"/>
  <c r="J87"/>
  <c r="K87" s="1"/>
  <c r="J90"/>
  <c r="K90" s="1"/>
  <c r="J91"/>
  <c r="K91" s="1"/>
  <c r="J92"/>
  <c r="K92"/>
  <c r="J93"/>
  <c r="K93" s="1"/>
  <c r="J97"/>
  <c r="K97"/>
  <c r="J98"/>
  <c r="K98" s="1"/>
  <c r="J99"/>
  <c r="J100"/>
  <c r="K100" s="1"/>
  <c r="J101"/>
  <c r="K101" s="1"/>
  <c r="A104"/>
  <c r="A2" i="16"/>
  <c r="B2"/>
  <c r="C3"/>
  <c r="D3"/>
  <c r="E3"/>
  <c r="F3"/>
  <c r="G3"/>
  <c r="H3"/>
  <c r="I3"/>
  <c r="J3"/>
  <c r="K3"/>
  <c r="L3"/>
  <c r="M3"/>
  <c r="J8"/>
  <c r="K8"/>
  <c r="J9"/>
  <c r="K9" s="1"/>
  <c r="J10"/>
  <c r="K10"/>
  <c r="J11"/>
  <c r="K11" s="1"/>
  <c r="L12"/>
  <c r="M12"/>
  <c r="M17" s="1"/>
  <c r="J13"/>
  <c r="K13" s="1"/>
  <c r="J14"/>
  <c r="J16" s="1"/>
  <c r="J15"/>
  <c r="K15" s="1"/>
  <c r="C16"/>
  <c r="B64" i="7"/>
  <c r="D16" i="16"/>
  <c r="D17" s="1"/>
  <c r="E16"/>
  <c r="E17" s="1"/>
  <c r="D64" i="7"/>
  <c r="F16" i="16"/>
  <c r="F17" s="1"/>
  <c r="G16"/>
  <c r="H16"/>
  <c r="I16"/>
  <c r="I17"/>
  <c r="L16"/>
  <c r="K64" i="7" s="1"/>
  <c r="M16" i="16"/>
  <c r="J19"/>
  <c r="K19"/>
  <c r="J20"/>
  <c r="K20" s="1"/>
  <c r="J21"/>
  <c r="K21"/>
  <c r="J22"/>
  <c r="K22" s="1"/>
  <c r="J23"/>
  <c r="K23" s="1"/>
  <c r="A24"/>
  <c r="L24"/>
  <c r="L29"/>
  <c r="M24"/>
  <c r="J25"/>
  <c r="K25" s="1"/>
  <c r="J26"/>
  <c r="J28" s="1"/>
  <c r="J27"/>
  <c r="K27" s="1"/>
  <c r="A28"/>
  <c r="C28"/>
  <c r="C29" s="1"/>
  <c r="D28"/>
  <c r="D29"/>
  <c r="E28"/>
  <c r="F28"/>
  <c r="G28"/>
  <c r="G29"/>
  <c r="F65" i="7"/>
  <c r="H28" i="16"/>
  <c r="H29" s="1"/>
  <c r="I28"/>
  <c r="H65" i="7" s="1"/>
  <c r="L28" i="16"/>
  <c r="M28"/>
  <c r="M29"/>
  <c r="A29"/>
  <c r="B29"/>
  <c r="J31"/>
  <c r="K31" s="1"/>
  <c r="J32"/>
  <c r="K32" s="1"/>
  <c r="A33"/>
  <c r="L33"/>
  <c r="L38" s="1"/>
  <c r="M33"/>
  <c r="J34"/>
  <c r="K34"/>
  <c r="J35"/>
  <c r="K35"/>
  <c r="J36"/>
  <c r="K36" s="1"/>
  <c r="A37"/>
  <c r="C37"/>
  <c r="C38" s="1"/>
  <c r="D37"/>
  <c r="D38" s="1"/>
  <c r="E37"/>
  <c r="E38"/>
  <c r="F37"/>
  <c r="F38" s="1"/>
  <c r="G37"/>
  <c r="G38"/>
  <c r="H37"/>
  <c r="H38" s="1"/>
  <c r="I37"/>
  <c r="H66" i="7" s="1"/>
  <c r="L37" i="16"/>
  <c r="M37"/>
  <c r="M38"/>
  <c r="A38"/>
  <c r="B38"/>
  <c r="J40"/>
  <c r="K40" s="1"/>
  <c r="A41"/>
  <c r="C41"/>
  <c r="D41"/>
  <c r="L41"/>
  <c r="M41"/>
  <c r="J42"/>
  <c r="J43"/>
  <c r="K43" s="1"/>
  <c r="J44"/>
  <c r="K44"/>
  <c r="J45"/>
  <c r="K45" s="1"/>
  <c r="J46"/>
  <c r="K46"/>
  <c r="A47"/>
  <c r="C47"/>
  <c r="D47"/>
  <c r="C67" i="7" s="1"/>
  <c r="E47" i="16"/>
  <c r="F47"/>
  <c r="E67" i="7" s="1"/>
  <c r="G47" i="16"/>
  <c r="G48" s="1"/>
  <c r="H47"/>
  <c r="H48" s="1"/>
  <c r="I47"/>
  <c r="I48" s="1"/>
  <c r="L47"/>
  <c r="K67" i="7" s="1"/>
  <c r="M47" i="16"/>
  <c r="A48"/>
  <c r="B48"/>
  <c r="J51"/>
  <c r="K51"/>
  <c r="J52"/>
  <c r="K52" s="1"/>
  <c r="J53"/>
  <c r="K53" s="1"/>
  <c r="J54"/>
  <c r="K54" s="1"/>
  <c r="J57"/>
  <c r="K57"/>
  <c r="J58"/>
  <c r="J59"/>
  <c r="K59"/>
  <c r="J60"/>
  <c r="K60" s="1"/>
  <c r="C61"/>
  <c r="B61" i="7" s="1"/>
  <c r="D61" i="16"/>
  <c r="C61" i="7" s="1"/>
  <c r="E61" i="16"/>
  <c r="D61" i="7" s="1"/>
  <c r="F61" i="16"/>
  <c r="E61" i="7" s="1"/>
  <c r="G61" i="16"/>
  <c r="F61" i="7"/>
  <c r="H61" i="16"/>
  <c r="G61" i="7" s="1"/>
  <c r="I61" i="16"/>
  <c r="H61" i="7"/>
  <c r="L61" i="16"/>
  <c r="K61" i="7" s="1"/>
  <c r="J64" i="16"/>
  <c r="K64" s="1"/>
  <c r="J65"/>
  <c r="K65" s="1"/>
  <c r="J66"/>
  <c r="K66"/>
  <c r="J67"/>
  <c r="K67" s="1"/>
  <c r="J68"/>
  <c r="K68" s="1"/>
  <c r="J69"/>
  <c r="K69" s="1"/>
  <c r="J71"/>
  <c r="K71" s="1"/>
  <c r="J72"/>
  <c r="K72" s="1"/>
  <c r="J73"/>
  <c r="K73"/>
  <c r="J74"/>
  <c r="K74" s="1"/>
  <c r="J75"/>
  <c r="K75"/>
  <c r="J76"/>
  <c r="K76" s="1"/>
  <c r="J77"/>
  <c r="K77"/>
  <c r="J78"/>
  <c r="K78" s="1"/>
  <c r="J79"/>
  <c r="K79"/>
  <c r="C80"/>
  <c r="B62" i="7" s="1"/>
  <c r="D80" i="16"/>
  <c r="E80"/>
  <c r="F80"/>
  <c r="E62" i="7" s="1"/>
  <c r="G80" i="16"/>
  <c r="H80"/>
  <c r="I80"/>
  <c r="L80"/>
  <c r="K62" i="7" s="1"/>
  <c r="M80" i="16"/>
  <c r="A81"/>
  <c r="A2" i="15"/>
  <c r="B2"/>
  <c r="C3"/>
  <c r="D3"/>
  <c r="E3"/>
  <c r="F3"/>
  <c r="G3"/>
  <c r="H3"/>
  <c r="I3"/>
  <c r="J3"/>
  <c r="K3"/>
  <c r="L3"/>
  <c r="M3"/>
  <c r="E59"/>
  <c r="F59"/>
  <c r="G59"/>
  <c r="G67"/>
  <c r="H59"/>
  <c r="I59"/>
  <c r="I67"/>
  <c r="H55" i="7" s="1"/>
  <c r="D67" i="15"/>
  <c r="C55" i="7" s="1"/>
  <c r="E67" i="15"/>
  <c r="F67"/>
  <c r="E55" i="7" s="1"/>
  <c r="H67" i="15"/>
  <c r="G55" i="7" s="1"/>
  <c r="A89" i="15"/>
  <c r="A2" i="14"/>
  <c r="B2"/>
  <c r="C3"/>
  <c r="D3"/>
  <c r="E3"/>
  <c r="F3"/>
  <c r="G3"/>
  <c r="H3"/>
  <c r="I3"/>
  <c r="J3"/>
  <c r="K3"/>
  <c r="L3"/>
  <c r="M3"/>
  <c r="D50"/>
  <c r="D18" s="1"/>
  <c r="D53"/>
  <c r="D54"/>
  <c r="D55"/>
  <c r="D56"/>
  <c r="A22"/>
  <c r="A37"/>
  <c r="A46"/>
  <c r="A52"/>
  <c r="A53"/>
  <c r="A54"/>
  <c r="A55"/>
  <c r="A56"/>
  <c r="A2" i="13"/>
  <c r="B2"/>
  <c r="C3"/>
  <c r="D3"/>
  <c r="E3"/>
  <c r="F3"/>
  <c r="G3"/>
  <c r="H3"/>
  <c r="I3"/>
  <c r="J3"/>
  <c r="K3"/>
  <c r="L3"/>
  <c r="M3"/>
  <c r="A41"/>
  <c r="A2" i="12"/>
  <c r="B2"/>
  <c r="C3"/>
  <c r="D3"/>
  <c r="E3"/>
  <c r="F3"/>
  <c r="G3"/>
  <c r="H3"/>
  <c r="I3"/>
  <c r="J3"/>
  <c r="K3"/>
  <c r="L3"/>
  <c r="M3"/>
  <c r="M47"/>
  <c r="A50"/>
  <c r="A2" i="11"/>
  <c r="B2"/>
  <c r="C3"/>
  <c r="D3"/>
  <c r="E3"/>
  <c r="F3"/>
  <c r="G3"/>
  <c r="H3"/>
  <c r="I3"/>
  <c r="J3"/>
  <c r="K3"/>
  <c r="L3"/>
  <c r="M3"/>
  <c r="A45"/>
  <c r="D45"/>
  <c r="E45"/>
  <c r="F45"/>
  <c r="G45"/>
  <c r="H45"/>
  <c r="I45"/>
  <c r="A46"/>
  <c r="A47"/>
  <c r="A48"/>
  <c r="A49"/>
  <c r="D49"/>
  <c r="E49"/>
  <c r="F49"/>
  <c r="G49"/>
  <c r="H49"/>
  <c r="I49"/>
  <c r="A50"/>
  <c r="A51"/>
  <c r="A52"/>
  <c r="A53"/>
  <c r="A54"/>
  <c r="A55"/>
  <c r="D55"/>
  <c r="E55"/>
  <c r="F55"/>
  <c r="G55"/>
  <c r="A56"/>
  <c r="A57"/>
  <c r="A58"/>
  <c r="A59"/>
  <c r="A60"/>
  <c r="A61"/>
  <c r="A62"/>
  <c r="A63"/>
  <c r="A64"/>
  <c r="J69"/>
  <c r="K69" s="1"/>
  <c r="J70"/>
  <c r="K70"/>
  <c r="J71"/>
  <c r="K71" s="1"/>
  <c r="D72"/>
  <c r="D76" s="1"/>
  <c r="E72"/>
  <c r="E76" s="1"/>
  <c r="F72"/>
  <c r="G72"/>
  <c r="G76"/>
  <c r="H72"/>
  <c r="G30" i="7" s="1"/>
  <c r="J73" i="11"/>
  <c r="K73" s="1"/>
  <c r="C76"/>
  <c r="A77"/>
  <c r="A2" i="10"/>
  <c r="B2"/>
  <c r="C3"/>
  <c r="D3"/>
  <c r="E3"/>
  <c r="F3"/>
  <c r="G3"/>
  <c r="H3"/>
  <c r="I3"/>
  <c r="J3"/>
  <c r="K3"/>
  <c r="L3"/>
  <c r="M3"/>
  <c r="J45"/>
  <c r="K45" s="1"/>
  <c r="J47"/>
  <c r="K47" s="1"/>
  <c r="J49"/>
  <c r="K49" s="1"/>
  <c r="A51"/>
  <c r="A2" i="8"/>
  <c r="B2"/>
  <c r="C3"/>
  <c r="D3"/>
  <c r="E3"/>
  <c r="F3"/>
  <c r="G3"/>
  <c r="H3"/>
  <c r="I3"/>
  <c r="J3"/>
  <c r="K3"/>
  <c r="L3"/>
  <c r="M3"/>
  <c r="A41"/>
  <c r="A42"/>
  <c r="A2" i="9"/>
  <c r="B2"/>
  <c r="A30"/>
  <c r="A31"/>
  <c r="A32"/>
  <c r="A33"/>
  <c r="A34"/>
  <c r="A35"/>
  <c r="A36"/>
  <c r="A37"/>
  <c r="A38"/>
  <c r="A39"/>
  <c r="A40"/>
  <c r="A41"/>
  <c r="A42"/>
  <c r="A43"/>
  <c r="A44"/>
  <c r="A45"/>
  <c r="A46"/>
  <c r="A47"/>
  <c r="A48"/>
  <c r="A49"/>
  <c r="A52"/>
  <c r="A2" i="7"/>
  <c r="B3"/>
  <c r="C3"/>
  <c r="D3"/>
  <c r="E3"/>
  <c r="F3"/>
  <c r="G3"/>
  <c r="H3"/>
  <c r="I3"/>
  <c r="J3"/>
  <c r="K3"/>
  <c r="L3"/>
  <c r="K10"/>
  <c r="L10"/>
  <c r="K22"/>
  <c r="L22"/>
  <c r="K23"/>
  <c r="L23"/>
  <c r="B25"/>
  <c r="C25"/>
  <c r="D25"/>
  <c r="E25"/>
  <c r="F25"/>
  <c r="G25"/>
  <c r="H25"/>
  <c r="K25"/>
  <c r="L25"/>
  <c r="B30"/>
  <c r="C30"/>
  <c r="K30"/>
  <c r="B31"/>
  <c r="C31"/>
  <c r="D31"/>
  <c r="E31"/>
  <c r="F31"/>
  <c r="G31"/>
  <c r="H31"/>
  <c r="K31"/>
  <c r="L31"/>
  <c r="B32"/>
  <c r="C32"/>
  <c r="D32"/>
  <c r="E32"/>
  <c r="F32"/>
  <c r="G32"/>
  <c r="H32"/>
  <c r="K32"/>
  <c r="L32"/>
  <c r="B33"/>
  <c r="C33"/>
  <c r="D33"/>
  <c r="E33"/>
  <c r="F33"/>
  <c r="G33"/>
  <c r="K33"/>
  <c r="C44"/>
  <c r="F44"/>
  <c r="B45"/>
  <c r="F45"/>
  <c r="B46"/>
  <c r="E46"/>
  <c r="F46"/>
  <c r="G46"/>
  <c r="H46"/>
  <c r="K46"/>
  <c r="D55"/>
  <c r="C62"/>
  <c r="D62"/>
  <c r="F62"/>
  <c r="G62"/>
  <c r="H62"/>
  <c r="L62"/>
  <c r="C64"/>
  <c r="F64"/>
  <c r="H64"/>
  <c r="L64"/>
  <c r="C65"/>
  <c r="D65"/>
  <c r="E65"/>
  <c r="G65"/>
  <c r="K65"/>
  <c r="L65"/>
  <c r="E66"/>
  <c r="F66"/>
  <c r="G66"/>
  <c r="K66"/>
  <c r="L66"/>
  <c r="F67"/>
  <c r="H67"/>
  <c r="L67"/>
  <c r="A2" i="38"/>
  <c r="A3"/>
  <c r="A4"/>
  <c r="A5"/>
  <c r="E5"/>
  <c r="F5"/>
  <c r="G5"/>
  <c r="H5"/>
  <c r="I5"/>
  <c r="J5"/>
  <c r="K5"/>
  <c r="L5"/>
  <c r="M5"/>
  <c r="N5"/>
  <c r="O5"/>
  <c r="A6"/>
  <c r="E6"/>
  <c r="F6"/>
  <c r="G6"/>
  <c r="H6"/>
  <c r="I6"/>
  <c r="J6"/>
  <c r="K6"/>
  <c r="L6"/>
  <c r="M6"/>
  <c r="N6"/>
  <c r="O6"/>
  <c r="A7"/>
  <c r="H7"/>
  <c r="I7"/>
  <c r="J7"/>
  <c r="K7"/>
  <c r="L7"/>
  <c r="M7"/>
  <c r="N7"/>
  <c r="O7"/>
  <c r="A8"/>
  <c r="H8"/>
  <c r="I8"/>
  <c r="J8"/>
  <c r="K8"/>
  <c r="L8"/>
  <c r="M8"/>
  <c r="N8"/>
  <c r="O8"/>
  <c r="A9"/>
  <c r="H9"/>
  <c r="I9"/>
  <c r="J9"/>
  <c r="K9"/>
  <c r="L9"/>
  <c r="M9"/>
  <c r="N9"/>
  <c r="O9"/>
  <c r="E10"/>
  <c r="F10"/>
  <c r="G10"/>
  <c r="H10"/>
  <c r="I10"/>
  <c r="J10"/>
  <c r="K10"/>
  <c r="L10"/>
  <c r="M10"/>
  <c r="N10"/>
  <c r="O10"/>
  <c r="B41" i="39"/>
  <c r="F67"/>
  <c r="E67"/>
  <c r="F68"/>
  <c r="E68"/>
  <c r="F69"/>
  <c r="E69"/>
  <c r="F70"/>
  <c r="E70"/>
  <c r="F71"/>
  <c r="E71"/>
  <c r="F72"/>
  <c r="E72"/>
  <c r="F73"/>
  <c r="E73"/>
  <c r="F74"/>
  <c r="E74"/>
  <c r="F75"/>
  <c r="E75"/>
  <c r="F76"/>
  <c r="E76"/>
  <c r="F77"/>
  <c r="E77"/>
  <c r="F78"/>
  <c r="E78"/>
  <c r="F79"/>
  <c r="E79"/>
  <c r="F80"/>
  <c r="E80"/>
  <c r="F81"/>
  <c r="E81"/>
  <c r="F82"/>
  <c r="E82"/>
  <c r="F83"/>
  <c r="E83"/>
  <c r="F84"/>
  <c r="E84"/>
  <c r="F85"/>
  <c r="E85"/>
  <c r="F87"/>
  <c r="E87"/>
  <c r="F89"/>
  <c r="E89"/>
  <c r="F91"/>
  <c r="E91"/>
  <c r="F92"/>
  <c r="E92"/>
  <c r="F93"/>
  <c r="E93"/>
  <c r="F98"/>
  <c r="E98"/>
  <c r="E99"/>
  <c r="G65" i="11"/>
  <c r="K12" i="22" s="1"/>
  <c r="J29" i="23"/>
  <c r="I24" i="25"/>
  <c r="K22" i="26"/>
  <c r="F30" i="7"/>
  <c r="F65" i="11"/>
  <c r="J12" i="22" s="1"/>
  <c r="H62" i="18"/>
  <c r="F62"/>
  <c r="I34" i="23"/>
  <c r="G48"/>
  <c r="I28"/>
  <c r="I18"/>
  <c r="I17"/>
  <c r="K48" i="24"/>
  <c r="G48"/>
  <c r="I48" i="25"/>
  <c r="K51"/>
  <c r="C51"/>
  <c r="K50" i="11"/>
  <c r="J45"/>
  <c r="L8" i="37"/>
  <c r="G8"/>
  <c r="C23" i="15"/>
  <c r="H81"/>
  <c r="I72"/>
  <c r="I8" i="1"/>
  <c r="I79"/>
  <c r="G72" i="15"/>
  <c r="J22" i="26"/>
  <c r="J10"/>
  <c r="E101" i="27"/>
  <c r="J65"/>
  <c r="J46"/>
  <c r="J26" i="29"/>
  <c r="K69" i="37"/>
  <c r="K67"/>
  <c r="H8"/>
  <c r="H79" s="1"/>
  <c r="F8"/>
  <c r="K77" i="1"/>
  <c r="K75" s="1"/>
  <c r="K54"/>
  <c r="K46"/>
  <c r="J16"/>
  <c r="H72" i="15"/>
  <c r="D74"/>
  <c r="D72"/>
  <c r="K33" i="36"/>
  <c r="K43" s="1"/>
  <c r="J43"/>
  <c r="K7"/>
  <c r="K17" s="1"/>
  <c r="J17"/>
  <c r="I8" i="9"/>
  <c r="I7" i="46"/>
  <c r="G22" i="9"/>
  <c r="G54" i="46"/>
  <c r="I22" i="9"/>
  <c r="L8"/>
  <c r="Q7" i="29" s="1"/>
  <c r="L7" i="46"/>
  <c r="G45" i="9"/>
  <c r="G123" i="46"/>
  <c r="G142"/>
  <c r="M45" i="9"/>
  <c r="R44" i="29" s="1"/>
  <c r="M81" i="15"/>
  <c r="G81"/>
  <c r="E81"/>
  <c r="D22" i="9"/>
  <c r="F54" i="46"/>
  <c r="F22" i="9"/>
  <c r="H22"/>
  <c r="M22"/>
  <c r="M54" i="46"/>
  <c r="D45" i="9"/>
  <c r="D123" i="46"/>
  <c r="F123"/>
  <c r="L45" i="9"/>
  <c r="Q44" i="29" s="1"/>
  <c r="C45" i="9"/>
  <c r="K50" i="46"/>
  <c r="K127"/>
  <c r="K130"/>
  <c r="O11" i="33"/>
  <c r="N11" s="1"/>
  <c r="B18" i="39"/>
  <c r="M2" i="16" s="1"/>
  <c r="J75" i="34"/>
  <c r="M27" i="11"/>
  <c r="R25" i="32" s="1"/>
  <c r="G33" i="11"/>
  <c r="J25" i="17"/>
  <c r="J15"/>
  <c r="J88"/>
  <c r="J71"/>
  <c r="K23"/>
  <c r="K25" s="1"/>
  <c r="K18"/>
  <c r="D53" i="52"/>
  <c r="E55"/>
  <c r="E53" s="1"/>
  <c r="H97" i="27"/>
  <c r="D97"/>
  <c r="G97"/>
  <c r="G48"/>
  <c r="G99"/>
  <c r="I101"/>
  <c r="I48"/>
  <c r="I26" i="23"/>
  <c r="H42" i="24"/>
  <c r="I43"/>
  <c r="H26"/>
  <c r="I27"/>
  <c r="I26" s="1"/>
  <c r="I24"/>
  <c r="I42" i="25"/>
  <c r="H44"/>
  <c r="I19"/>
  <c r="H20"/>
  <c r="K27"/>
  <c r="J37" i="16"/>
  <c r="J59" i="17"/>
  <c r="H39" i="24"/>
  <c r="I40"/>
  <c r="I39" s="1"/>
  <c r="G29"/>
  <c r="A44" i="25"/>
  <c r="A49"/>
  <c r="H45" i="24"/>
  <c r="H101" i="27"/>
  <c r="K68" i="34"/>
  <c r="K67"/>
  <c r="J67"/>
  <c r="K54" i="37"/>
  <c r="J16"/>
  <c r="K16" s="1"/>
  <c r="K73" i="1"/>
  <c r="K51"/>
  <c r="C9" i="15"/>
  <c r="J67" i="1"/>
  <c r="K68"/>
  <c r="K67"/>
  <c r="E75" i="15"/>
  <c r="J20" i="1"/>
  <c r="K20" s="1"/>
  <c r="E73" i="15"/>
  <c r="D8" i="11"/>
  <c r="D39"/>
  <c r="H8"/>
  <c r="H173" i="48"/>
  <c r="F8" i="11"/>
  <c r="F173" i="48"/>
  <c r="K75" i="34"/>
  <c r="J71" i="37"/>
  <c r="K199" i="48"/>
  <c r="K221"/>
  <c r="J309"/>
  <c r="K309"/>
  <c r="J331"/>
  <c r="K331"/>
  <c r="D40" i="11"/>
  <c r="D38"/>
  <c r="G8"/>
  <c r="G173" i="48"/>
  <c r="E8" i="11"/>
  <c r="K61" i="46"/>
  <c r="K81" i="34"/>
  <c r="J81"/>
  <c r="J81" i="37"/>
  <c r="K81"/>
  <c r="J67" i="46"/>
  <c r="J61"/>
  <c r="J44"/>
  <c r="J130"/>
  <c r="J75" i="37"/>
  <c r="K76"/>
  <c r="K75"/>
  <c r="A8" i="48"/>
  <c r="A8" i="11" s="1"/>
  <c r="A6" i="32" s="1"/>
  <c r="A24" s="1"/>
  <c r="A7" i="47"/>
  <c r="A7" i="8" s="1"/>
  <c r="A6" i="28" s="1"/>
  <c r="A140" i="48"/>
  <c r="A309" s="1"/>
  <c r="A38" i="11" s="1"/>
  <c r="A139" i="47"/>
  <c r="A19" i="8" s="1"/>
  <c r="A18" i="28" s="1"/>
  <c r="A151" i="48"/>
  <c r="A150" i="47"/>
  <c r="A318" s="1"/>
  <c r="A38" i="8" s="1"/>
  <c r="A37" i="28" s="1"/>
  <c r="A161" i="47"/>
  <c r="A21" i="8" s="1"/>
  <c r="A20" i="28" s="1"/>
  <c r="A162" i="48"/>
  <c r="A331" s="1"/>
  <c r="A40" i="11" s="1"/>
  <c r="A40" i="47"/>
  <c r="A10" i="8" s="1"/>
  <c r="A9" i="28" s="1"/>
  <c r="A84" i="47"/>
  <c r="A252" s="1"/>
  <c r="A32" i="8" s="1"/>
  <c r="A31" i="28" s="1"/>
  <c r="A128" i="47"/>
  <c r="A30" i="48"/>
  <c r="A10" i="11" s="1"/>
  <c r="A8" i="32" s="1"/>
  <c r="A26" s="1"/>
  <c r="A74" i="48"/>
  <c r="A14" i="11" s="1"/>
  <c r="A12" i="32" s="1"/>
  <c r="A30" s="1"/>
  <c r="A118" i="48"/>
  <c r="A287" s="1"/>
  <c r="A36" i="11" s="1"/>
  <c r="A51" i="47"/>
  <c r="A11" i="8" s="1"/>
  <c r="A10" i="28" s="1"/>
  <c r="A106" i="47"/>
  <c r="A16" i="8" s="1"/>
  <c r="A15" i="28" s="1"/>
  <c r="J49" i="52"/>
  <c r="F55" i="7"/>
  <c r="C48" i="12"/>
  <c r="L34"/>
  <c r="H45" i="23"/>
  <c r="I43"/>
  <c r="I42" s="1"/>
  <c r="H39"/>
  <c r="H23"/>
  <c r="D48" i="24"/>
  <c r="K71" i="37"/>
  <c r="K16" i="34"/>
  <c r="J81" i="1"/>
  <c r="D55"/>
  <c r="D53" s="1"/>
  <c r="D81" i="15" s="1"/>
  <c r="A50" i="25"/>
  <c r="D48" i="27"/>
  <c r="D99" s="1"/>
  <c r="K46" i="34"/>
  <c r="K45"/>
  <c r="K50" i="1"/>
  <c r="K49"/>
  <c r="J49"/>
  <c r="H65" i="31"/>
  <c r="K72" i="34"/>
  <c r="K71" s="1"/>
  <c r="K56"/>
  <c r="C53" i="52"/>
  <c r="F53"/>
  <c r="C81" i="15"/>
  <c r="J71" i="1"/>
  <c r="J55" i="37"/>
  <c r="J53" s="1"/>
  <c r="E53"/>
  <c r="D53"/>
  <c r="F32" i="15"/>
  <c r="H32"/>
  <c r="J55" i="34"/>
  <c r="E53"/>
  <c r="E17" i="15" s="1"/>
  <c r="L52" i="27"/>
  <c r="L36"/>
  <c r="L9"/>
  <c r="I20" i="25"/>
  <c r="K54" i="14"/>
  <c r="B67" i="7"/>
  <c r="D66"/>
  <c r="B66"/>
  <c r="E64"/>
  <c r="F29" i="16"/>
  <c r="C17"/>
  <c r="G7" i="14"/>
  <c r="F47" i="7"/>
  <c r="P20" i="30"/>
  <c r="N20" s="1"/>
  <c r="O20" s="1"/>
  <c r="D32" i="15"/>
  <c r="E32"/>
  <c r="K54" i="26"/>
  <c r="K71" i="17"/>
  <c r="K55" i="37"/>
  <c r="K53" s="1"/>
  <c r="H19" i="20"/>
  <c r="K71" i="1"/>
  <c r="G17" i="16"/>
  <c r="J38"/>
  <c r="H40" i="32"/>
  <c r="J12" i="16"/>
  <c r="K12" s="1"/>
  <c r="D31" i="11"/>
  <c r="L26"/>
  <c r="Q24" i="32" s="1"/>
  <c r="L342" i="48"/>
  <c r="F36" i="11"/>
  <c r="H34"/>
  <c r="F33"/>
  <c r="F342" i="48"/>
  <c r="F343" s="1"/>
  <c r="J254"/>
  <c r="G40" i="32"/>
  <c r="J52" i="48"/>
  <c r="J63"/>
  <c r="J96"/>
  <c r="K96" s="1"/>
  <c r="K254"/>
  <c r="J276"/>
  <c r="D342"/>
  <c r="O40" i="32"/>
  <c r="J55" i="1"/>
  <c r="K35" i="26"/>
  <c r="K56"/>
  <c r="R48" i="31" l="1"/>
  <c r="R54" s="1"/>
  <c r="R56" s="1"/>
  <c r="R66" s="1"/>
  <c r="Q48"/>
  <c r="Q65" s="1"/>
  <c r="K14" i="7"/>
  <c r="I99" i="27"/>
  <c r="J80"/>
  <c r="M17" i="13"/>
  <c r="L44" i="7" s="1"/>
  <c r="K40" i="22"/>
  <c r="L18" i="9"/>
  <c r="Q17" i="29" s="1"/>
  <c r="L39" i="46"/>
  <c r="L88" i="17"/>
  <c r="L94" s="1"/>
  <c r="L34" i="10" s="1"/>
  <c r="Q33" i="30" s="1"/>
  <c r="J30" i="36"/>
  <c r="L14" i="7"/>
  <c r="I62" i="18"/>
  <c r="J43" i="34"/>
  <c r="K43" s="1"/>
  <c r="K54" i="15"/>
  <c r="G50" i="24"/>
  <c r="G34" i="25"/>
  <c r="G51" s="1"/>
  <c r="I10"/>
  <c r="G10"/>
  <c r="G27" s="1"/>
  <c r="G28"/>
  <c r="G55" s="1"/>
  <c r="I9" i="34"/>
  <c r="I8" i="15" s="1"/>
  <c r="I38" s="1"/>
  <c r="J21" i="18"/>
  <c r="K21" s="1"/>
  <c r="J19" i="48"/>
  <c r="K19" s="1"/>
  <c r="I197" i="47"/>
  <c r="I32" i="9"/>
  <c r="J32" s="1"/>
  <c r="K32" s="1"/>
  <c r="P31" i="29" s="1"/>
  <c r="N31" s="1"/>
  <c r="O31" s="1"/>
  <c r="J26" i="13"/>
  <c r="K26" s="1"/>
  <c r="E27"/>
  <c r="D45" i="7" s="1"/>
  <c r="G45"/>
  <c r="I17" i="13"/>
  <c r="H44" i="7" s="1"/>
  <c r="I44" s="1"/>
  <c r="J44" s="1"/>
  <c r="J8" i="13"/>
  <c r="K8" s="1"/>
  <c r="K17" s="1"/>
  <c r="G47" i="7"/>
  <c r="D22"/>
  <c r="I22" s="1"/>
  <c r="J22" s="1"/>
  <c r="P22" i="31"/>
  <c r="P34" s="1"/>
  <c r="I8" i="37"/>
  <c r="I79" s="1"/>
  <c r="I53" i="34"/>
  <c r="I17" i="15" s="1"/>
  <c r="J17" s="1"/>
  <c r="J49" i="34"/>
  <c r="I8"/>
  <c r="H9" i="11"/>
  <c r="H23" s="1"/>
  <c r="I74" i="48"/>
  <c r="I8" i="11"/>
  <c r="J8" s="1"/>
  <c r="K8" i="48"/>
  <c r="J88"/>
  <c r="K88" s="1"/>
  <c r="J85"/>
  <c r="K85" s="1"/>
  <c r="H76" i="11"/>
  <c r="J35" i="10"/>
  <c r="K35" s="1"/>
  <c r="P34" i="30" s="1"/>
  <c r="N34" s="1"/>
  <c r="O34" s="1"/>
  <c r="L45" i="15"/>
  <c r="J56" i="11"/>
  <c r="K56" s="1"/>
  <c r="O17" i="33" s="1"/>
  <c r="N17" s="1"/>
  <c r="H65" i="11"/>
  <c r="H91" s="1"/>
  <c r="I72"/>
  <c r="H30" i="7" s="1"/>
  <c r="H34" s="1"/>
  <c r="I55" i="11"/>
  <c r="J57"/>
  <c r="K57" s="1"/>
  <c r="O18" i="33" s="1"/>
  <c r="N18" s="1"/>
  <c r="J75" i="11"/>
  <c r="K75" s="1"/>
  <c r="I76"/>
  <c r="I59"/>
  <c r="I65" s="1"/>
  <c r="H52" i="25"/>
  <c r="F34"/>
  <c r="F51" s="1"/>
  <c r="F54" s="1"/>
  <c r="H340" i="47"/>
  <c r="J124" i="46"/>
  <c r="J123" s="1"/>
  <c r="H45" i="9"/>
  <c r="H44" s="1"/>
  <c r="H38" i="24"/>
  <c r="I38" s="1"/>
  <c r="I32" s="1"/>
  <c r="I48" s="1"/>
  <c r="I36" i="17"/>
  <c r="I22" i="10" s="1"/>
  <c r="H11" i="7" s="1"/>
  <c r="I11" s="1"/>
  <c r="M48" i="15"/>
  <c r="L41"/>
  <c r="J73" i="47"/>
  <c r="K73" s="1"/>
  <c r="H172"/>
  <c r="H342" s="1"/>
  <c r="I252"/>
  <c r="J252" s="1"/>
  <c r="K252" s="1"/>
  <c r="I30" i="8"/>
  <c r="J30" s="1"/>
  <c r="K30" s="1"/>
  <c r="P29" i="28" s="1"/>
  <c r="N29" s="1"/>
  <c r="O29" s="1"/>
  <c r="J219" i="47"/>
  <c r="K219" s="1"/>
  <c r="I208"/>
  <c r="I28" i="8" s="1"/>
  <c r="J28" s="1"/>
  <c r="K28" s="1"/>
  <c r="P27" i="28" s="1"/>
  <c r="N27" s="1"/>
  <c r="O27" s="1"/>
  <c r="J211" i="47"/>
  <c r="K211" s="1"/>
  <c r="I186"/>
  <c r="I26" i="8" s="1"/>
  <c r="J26" s="1"/>
  <c r="K26" s="1"/>
  <c r="P25" i="28" s="1"/>
  <c r="N25" s="1"/>
  <c r="O25" s="1"/>
  <c r="J175" i="47"/>
  <c r="K175" s="1"/>
  <c r="I172"/>
  <c r="I113" i="46"/>
  <c r="I109"/>
  <c r="I41" i="9" s="1"/>
  <c r="I81" i="46"/>
  <c r="I33" i="9" s="1"/>
  <c r="J33" s="1"/>
  <c r="I42"/>
  <c r="J114" i="46"/>
  <c r="K114" s="1"/>
  <c r="I77"/>
  <c r="I31" i="9" s="1"/>
  <c r="K77" i="46"/>
  <c r="M47" i="15"/>
  <c r="L49"/>
  <c r="L42"/>
  <c r="L46"/>
  <c r="H42"/>
  <c r="L48" i="16"/>
  <c r="M48"/>
  <c r="J47"/>
  <c r="J48" s="1"/>
  <c r="C48"/>
  <c r="J41"/>
  <c r="K41" s="1"/>
  <c r="E48"/>
  <c r="D48"/>
  <c r="I173" i="48"/>
  <c r="I343" s="1"/>
  <c r="I14" i="11"/>
  <c r="J14" s="1"/>
  <c r="K14" s="1"/>
  <c r="P12" i="32" s="1"/>
  <c r="N12" s="1"/>
  <c r="L38" i="13"/>
  <c r="L40" s="1"/>
  <c r="J5" i="22" s="1"/>
  <c r="L45" i="7"/>
  <c r="K44"/>
  <c r="F38" i="13"/>
  <c r="F40" s="1"/>
  <c r="K21"/>
  <c r="C38"/>
  <c r="C40" s="1"/>
  <c r="C7" i="14" s="1"/>
  <c r="K36" i="13"/>
  <c r="D56" i="31"/>
  <c r="P48"/>
  <c r="R65"/>
  <c r="I65"/>
  <c r="M56"/>
  <c r="M66" s="1"/>
  <c r="F56"/>
  <c r="F66" s="1"/>
  <c r="G65"/>
  <c r="G56"/>
  <c r="G66" s="1"/>
  <c r="C56"/>
  <c r="C58" s="1"/>
  <c r="D57" s="1"/>
  <c r="H56"/>
  <c r="H66" s="1"/>
  <c r="I18" i="14"/>
  <c r="J18" s="1"/>
  <c r="L65" i="31"/>
  <c r="M65"/>
  <c r="O48"/>
  <c r="O54" s="1"/>
  <c r="I56"/>
  <c r="I66" s="1"/>
  <c r="K54"/>
  <c r="J56"/>
  <c r="J66" s="1"/>
  <c r="N48"/>
  <c r="N54" s="1"/>
  <c r="K56"/>
  <c r="K66" s="1"/>
  <c r="L56"/>
  <c r="L66" s="1"/>
  <c r="O22"/>
  <c r="O34" s="1"/>
  <c r="M8" i="52"/>
  <c r="M79" s="1"/>
  <c r="D8" i="1"/>
  <c r="D79" s="1"/>
  <c r="K58"/>
  <c r="M8"/>
  <c r="M79" s="1"/>
  <c r="M72" i="15"/>
  <c r="M77" s="1"/>
  <c r="M8" i="37"/>
  <c r="M79" s="1"/>
  <c r="M79" i="34"/>
  <c r="M30" i="26"/>
  <c r="M57" s="1"/>
  <c r="L30"/>
  <c r="H10" i="25"/>
  <c r="H28"/>
  <c r="H55" s="1"/>
  <c r="E55"/>
  <c r="D51"/>
  <c r="I34"/>
  <c r="D55"/>
  <c r="K54"/>
  <c r="J55"/>
  <c r="J27"/>
  <c r="J54" s="1"/>
  <c r="K55"/>
  <c r="I9" i="24"/>
  <c r="E29"/>
  <c r="E50" s="1"/>
  <c r="J50"/>
  <c r="K29"/>
  <c r="K50" s="1"/>
  <c r="I32" i="23"/>
  <c r="I48" s="1"/>
  <c r="E48"/>
  <c r="E49" s="1"/>
  <c r="J49"/>
  <c r="J80" i="16"/>
  <c r="I62" i="7" s="1"/>
  <c r="J67" i="15"/>
  <c r="K59"/>
  <c r="K67" s="1"/>
  <c r="K39" i="18"/>
  <c r="J39"/>
  <c r="K63" i="48"/>
  <c r="M173"/>
  <c r="M11" i="11"/>
  <c r="R9" i="32" s="1"/>
  <c r="K45" i="11"/>
  <c r="O6" i="33" s="1"/>
  <c r="N6" s="1"/>
  <c r="O7"/>
  <c r="N7" s="1"/>
  <c r="J49" i="11"/>
  <c r="K68"/>
  <c r="K72" s="1"/>
  <c r="L30" i="7"/>
  <c r="L34" s="1"/>
  <c r="L65" i="11"/>
  <c r="I8" i="20" s="1"/>
  <c r="J13" i="22" s="1"/>
  <c r="J10" i="17"/>
  <c r="K62"/>
  <c r="K66" s="1"/>
  <c r="K230" i="47"/>
  <c r="J51"/>
  <c r="L340"/>
  <c r="L26" i="8"/>
  <c r="Q25" i="28" s="1"/>
  <c r="L172" i="47"/>
  <c r="K104" i="46"/>
  <c r="D33" i="9"/>
  <c r="D30" s="1"/>
  <c r="J77" i="46"/>
  <c r="E54"/>
  <c r="J65"/>
  <c r="K44"/>
  <c r="D39"/>
  <c r="J40"/>
  <c r="K40"/>
  <c r="D17"/>
  <c r="E7"/>
  <c r="M123"/>
  <c r="L123"/>
  <c r="M108"/>
  <c r="L54"/>
  <c r="E8" i="1"/>
  <c r="E79" s="1"/>
  <c r="C8"/>
  <c r="C79" s="1"/>
  <c r="C72" i="15"/>
  <c r="C8" i="37"/>
  <c r="C79" s="1"/>
  <c r="D8"/>
  <c r="J53" i="34"/>
  <c r="J26" i="33"/>
  <c r="L26"/>
  <c r="M26"/>
  <c r="I26"/>
  <c r="H26"/>
  <c r="D26"/>
  <c r="E26"/>
  <c r="G26"/>
  <c r="C26"/>
  <c r="L40" i="32"/>
  <c r="H39" i="30"/>
  <c r="H43" s="1"/>
  <c r="D39"/>
  <c r="D43" s="1"/>
  <c r="J39"/>
  <c r="J43" s="1"/>
  <c r="K39"/>
  <c r="K43" s="1"/>
  <c r="C39"/>
  <c r="C43" s="1"/>
  <c r="F39"/>
  <c r="F43" s="1"/>
  <c r="E39"/>
  <c r="E43" s="1"/>
  <c r="G39"/>
  <c r="G43" s="1"/>
  <c r="J51" i="29"/>
  <c r="I26"/>
  <c r="K26"/>
  <c r="K51" s="1"/>
  <c r="L26"/>
  <c r="F49"/>
  <c r="H49"/>
  <c r="H51" s="1"/>
  <c r="D49"/>
  <c r="G26"/>
  <c r="G51" s="1"/>
  <c r="D26"/>
  <c r="C26"/>
  <c r="C51" s="1"/>
  <c r="F26"/>
  <c r="E51"/>
  <c r="M41" i="28"/>
  <c r="I41"/>
  <c r="L41"/>
  <c r="J41"/>
  <c r="D41"/>
  <c r="H41"/>
  <c r="E41"/>
  <c r="F41"/>
  <c r="K46" i="27"/>
  <c r="L46" s="1"/>
  <c r="K28" i="26"/>
  <c r="C30"/>
  <c r="C57" s="1"/>
  <c r="E30"/>
  <c r="E57" s="1"/>
  <c r="D30"/>
  <c r="D57" s="1"/>
  <c r="G36" i="12"/>
  <c r="F39" i="7" s="1"/>
  <c r="M2" i="34"/>
  <c r="D50" i="24"/>
  <c r="H34" i="25"/>
  <c r="H51" s="1"/>
  <c r="E51"/>
  <c r="I25"/>
  <c r="E27"/>
  <c r="H15"/>
  <c r="I28"/>
  <c r="C27"/>
  <c r="C54" s="1"/>
  <c r="D27"/>
  <c r="D48" i="23"/>
  <c r="D49" s="1"/>
  <c r="H9"/>
  <c r="A298" i="48"/>
  <c r="A37" i="11" s="1"/>
  <c r="K2" i="23"/>
  <c r="E14" i="12"/>
  <c r="D37" i="7" s="1"/>
  <c r="D106" i="15"/>
  <c r="D48"/>
  <c r="A11" i="11"/>
  <c r="A9" i="32" s="1"/>
  <c r="A27" s="1"/>
  <c r="G50" i="15"/>
  <c r="C62" i="18"/>
  <c r="K54"/>
  <c r="E62"/>
  <c r="D41" i="12"/>
  <c r="C40" i="7" s="1"/>
  <c r="K24" i="18"/>
  <c r="E44" i="15"/>
  <c r="D36" i="12"/>
  <c r="G15" i="20" s="1"/>
  <c r="J74" i="48"/>
  <c r="K74" s="1"/>
  <c r="K52"/>
  <c r="J41"/>
  <c r="K41" s="1"/>
  <c r="J30"/>
  <c r="K30" s="1"/>
  <c r="M2"/>
  <c r="D46" i="15"/>
  <c r="D30" i="7"/>
  <c r="D34" s="1"/>
  <c r="C65" i="11"/>
  <c r="G12" i="22" s="1"/>
  <c r="E65" i="11"/>
  <c r="I12" i="22" s="1"/>
  <c r="D65" i="11"/>
  <c r="D91" s="1"/>
  <c r="K49"/>
  <c r="O10" i="33" s="1"/>
  <c r="N10" s="1"/>
  <c r="G8" i="14"/>
  <c r="G10" s="1"/>
  <c r="G21" s="1"/>
  <c r="G44" i="15"/>
  <c r="C106"/>
  <c r="B75" i="39"/>
  <c r="A1" i="15" s="1"/>
  <c r="K7" i="7"/>
  <c r="D41" i="15"/>
  <c r="C49"/>
  <c r="C40"/>
  <c r="J103" i="17"/>
  <c r="L13" i="7"/>
  <c r="C70" i="15"/>
  <c r="B56" i="7" s="1"/>
  <c r="F70" i="15"/>
  <c r="E56" i="7" s="1"/>
  <c r="J52" i="17"/>
  <c r="J54" s="1"/>
  <c r="K31"/>
  <c r="K9"/>
  <c r="K10" s="1"/>
  <c r="D26" i="12"/>
  <c r="G77" i="15"/>
  <c r="G71" s="1"/>
  <c r="G82" s="1"/>
  <c r="J11" i="20"/>
  <c r="H44" i="15"/>
  <c r="D45"/>
  <c r="L70"/>
  <c r="K56" i="7" s="1"/>
  <c r="M14" i="12"/>
  <c r="L37" i="7" s="1"/>
  <c r="D44" i="15"/>
  <c r="E8" i="7"/>
  <c r="E12" s="1"/>
  <c r="C29" i="8"/>
  <c r="E29"/>
  <c r="J29" s="1"/>
  <c r="J208" i="47"/>
  <c r="K208" s="1"/>
  <c r="J186"/>
  <c r="K186" s="1"/>
  <c r="D340"/>
  <c r="E340"/>
  <c r="B89" i="39"/>
  <c r="A1" i="29" s="1"/>
  <c r="F15" i="7"/>
  <c r="M50" i="15"/>
  <c r="M45"/>
  <c r="I48"/>
  <c r="G47"/>
  <c r="H8" i="14"/>
  <c r="H10" s="1"/>
  <c r="C42" i="15"/>
  <c r="H77"/>
  <c r="H71" s="1"/>
  <c r="G58" i="7" s="1"/>
  <c r="J30" i="11"/>
  <c r="K30" s="1"/>
  <c r="P28" i="32" s="1"/>
  <c r="N28" s="1"/>
  <c r="J10" i="11"/>
  <c r="K10" s="1"/>
  <c r="P8" i="32" s="1"/>
  <c r="G11" i="9"/>
  <c r="A20" i="8"/>
  <c r="A19" i="28" s="1"/>
  <c r="M106" i="15"/>
  <c r="B76" i="39"/>
  <c r="A1" i="16" s="1"/>
  <c r="F45" i="15"/>
  <c r="L30" i="9"/>
  <c r="Q29" i="29" s="1"/>
  <c r="G36" i="22"/>
  <c r="G9" s="1"/>
  <c r="H49" i="12"/>
  <c r="G41" i="7" s="1"/>
  <c r="I41" i="12"/>
  <c r="H40" i="7" s="1"/>
  <c r="C41" i="12"/>
  <c r="B40" i="7" s="1"/>
  <c r="D50" i="15"/>
  <c r="J13" i="14"/>
  <c r="K13" s="1"/>
  <c r="F46" i="15"/>
  <c r="I14" i="7"/>
  <c r="J14" s="1"/>
  <c r="F36" i="12"/>
  <c r="E39" i="7" s="1"/>
  <c r="J13" i="11"/>
  <c r="K13" s="1"/>
  <c r="P11" i="32" s="1"/>
  <c r="N11" s="1"/>
  <c r="H22" i="8"/>
  <c r="J37" i="11"/>
  <c r="K37" s="1"/>
  <c r="P35" i="32" s="1"/>
  <c r="N35" s="1"/>
  <c r="F8" i="7"/>
  <c r="F12" s="1"/>
  <c r="K15"/>
  <c r="L50" i="15"/>
  <c r="D49"/>
  <c r="C48"/>
  <c r="L44"/>
  <c r="F44"/>
  <c r="J26" i="9"/>
  <c r="K26" s="1"/>
  <c r="P25" i="29" s="1"/>
  <c r="N25" s="1"/>
  <c r="O25" s="1"/>
  <c r="I66" i="7"/>
  <c r="L7"/>
  <c r="I36" i="12"/>
  <c r="I46" i="15"/>
  <c r="G38" i="10"/>
  <c r="I10" i="7"/>
  <c r="J10" s="1"/>
  <c r="F24" i="10"/>
  <c r="F63" s="1"/>
  <c r="K135" i="46"/>
  <c r="K134" s="1"/>
  <c r="J48" i="9"/>
  <c r="K48" s="1"/>
  <c r="P47" i="29" s="1"/>
  <c r="N47" s="1"/>
  <c r="C123" i="46"/>
  <c r="C108"/>
  <c r="J39" i="9"/>
  <c r="K39" s="1"/>
  <c r="P38" i="29" s="1"/>
  <c r="N38" s="1"/>
  <c r="J104" i="46"/>
  <c r="K97"/>
  <c r="J97"/>
  <c r="D35" i="9"/>
  <c r="D34" s="1"/>
  <c r="C34"/>
  <c r="J87" i="46"/>
  <c r="K81"/>
  <c r="C76"/>
  <c r="C142" s="1"/>
  <c r="D21" i="9"/>
  <c r="C54" i="46"/>
  <c r="C22" i="9"/>
  <c r="C21" s="1"/>
  <c r="D17"/>
  <c r="J35" i="46"/>
  <c r="K35"/>
  <c r="K29"/>
  <c r="K28" s="1"/>
  <c r="C7"/>
  <c r="D7"/>
  <c r="L7" i="9"/>
  <c r="Q6" i="29" s="1"/>
  <c r="C7" i="9"/>
  <c r="Q21" i="28"/>
  <c r="Q31" i="30"/>
  <c r="C44" i="9"/>
  <c r="D14" i="12"/>
  <c r="C37" i="7" s="1"/>
  <c r="Q9" i="29"/>
  <c r="I16" i="7"/>
  <c r="J16" s="1"/>
  <c r="J13" i="8"/>
  <c r="K13" s="1"/>
  <c r="P12" i="28" s="1"/>
  <c r="N12" s="1"/>
  <c r="O12" s="1"/>
  <c r="D40" i="8"/>
  <c r="J38"/>
  <c r="K38" s="1"/>
  <c r="P37" i="28" s="1"/>
  <c r="N37" s="1"/>
  <c r="O37" s="1"/>
  <c r="B7" i="7"/>
  <c r="G26" i="12"/>
  <c r="F38" i="7" s="1"/>
  <c r="A307" i="47"/>
  <c r="A37" i="8" s="1"/>
  <c r="A36" i="28" s="1"/>
  <c r="J27" i="10"/>
  <c r="K27" s="1"/>
  <c r="P26" i="30" s="1"/>
  <c r="N26" s="1"/>
  <c r="L21" i="9"/>
  <c r="Q20" i="29" s="1"/>
  <c r="I21" i="9"/>
  <c r="F49" i="15"/>
  <c r="F42"/>
  <c r="G41"/>
  <c r="G40"/>
  <c r="E39"/>
  <c r="I28"/>
  <c r="I22" s="1"/>
  <c r="H57" i="7" s="1"/>
  <c r="D40" i="15"/>
  <c r="L57" i="14"/>
  <c r="L19" s="1"/>
  <c r="H8" i="7"/>
  <c r="B8"/>
  <c r="E24" i="10"/>
  <c r="E63" s="1"/>
  <c r="G24"/>
  <c r="G63" s="1"/>
  <c r="E7" i="9"/>
  <c r="G7"/>
  <c r="F11"/>
  <c r="J14"/>
  <c r="K14" s="1"/>
  <c r="P13" i="29" s="1"/>
  <c r="N13" s="1"/>
  <c r="O13" s="1"/>
  <c r="J40" i="11"/>
  <c r="K40" s="1"/>
  <c r="P38" i="32" s="1"/>
  <c r="N38" s="1"/>
  <c r="J35" i="11"/>
  <c r="K35" s="1"/>
  <c r="P33" i="32" s="1"/>
  <c r="N33" s="1"/>
  <c r="J26" i="11"/>
  <c r="K26" s="1"/>
  <c r="P24" i="32" s="1"/>
  <c r="N24" s="1"/>
  <c r="J16" i="11"/>
  <c r="K16" s="1"/>
  <c r="P14" i="32" s="1"/>
  <c r="N14" s="1"/>
  <c r="J11" i="11"/>
  <c r="K11" s="1"/>
  <c r="P9" i="32" s="1"/>
  <c r="N9" s="1"/>
  <c r="J17" i="11"/>
  <c r="J19"/>
  <c r="K19" s="1"/>
  <c r="P17" i="32" s="1"/>
  <c r="N17" s="1"/>
  <c r="J21" i="11"/>
  <c r="J15" i="9"/>
  <c r="K15" s="1"/>
  <c r="P14" i="29" s="1"/>
  <c r="N14" s="1"/>
  <c r="O14" s="1"/>
  <c r="E11" i="9"/>
  <c r="H38" i="10"/>
  <c r="G19" i="7" s="1"/>
  <c r="G20" s="1"/>
  <c r="K11" i="22"/>
  <c r="K36"/>
  <c r="C38" i="15"/>
  <c r="M49" i="12"/>
  <c r="L41" i="7" s="1"/>
  <c r="E41" i="12"/>
  <c r="D40" i="7" s="1"/>
  <c r="L48" i="15"/>
  <c r="J12"/>
  <c r="K12" s="1"/>
  <c r="J36" i="10"/>
  <c r="K36" s="1"/>
  <c r="P35" i="30" s="1"/>
  <c r="N35" s="1"/>
  <c r="O35" s="1"/>
  <c r="I18" i="7"/>
  <c r="J18" s="1"/>
  <c r="H34" i="9"/>
  <c r="C40"/>
  <c r="J11" i="8"/>
  <c r="I22"/>
  <c r="J25"/>
  <c r="K25" s="1"/>
  <c r="P24" i="28" s="1"/>
  <c r="N24" s="1"/>
  <c r="O24" s="1"/>
  <c r="H40" i="8"/>
  <c r="F43" i="20"/>
  <c r="F41" i="11"/>
  <c r="Q39" i="32"/>
  <c r="J21" i="12"/>
  <c r="J26" s="1"/>
  <c r="L36"/>
  <c r="K39" i="7" s="1"/>
  <c r="J73" i="15"/>
  <c r="K73" s="1"/>
  <c r="C38" i="10"/>
  <c r="F7" i="20" s="1"/>
  <c r="L2" i="7"/>
  <c r="L8"/>
  <c r="D44" i="9"/>
  <c r="M21"/>
  <c r="R20" i="29" s="1"/>
  <c r="B34" i="7"/>
  <c r="D57" i="14"/>
  <c r="D19" s="1"/>
  <c r="F48" i="15"/>
  <c r="H41"/>
  <c r="H40"/>
  <c r="C57" i="14"/>
  <c r="C19" s="1"/>
  <c r="Q30" i="29"/>
  <c r="I47" i="15"/>
  <c r="G30" i="9"/>
  <c r="G34"/>
  <c r="J9"/>
  <c r="K9" s="1"/>
  <c r="P8" i="29" s="1"/>
  <c r="N8" s="1"/>
  <c r="O8" s="1"/>
  <c r="F34" i="9"/>
  <c r="J36"/>
  <c r="K36" s="1"/>
  <c r="P35" i="29" s="1"/>
  <c r="N35" s="1"/>
  <c r="O35" s="1"/>
  <c r="H36" i="22"/>
  <c r="H9" s="1"/>
  <c r="J12" i="10"/>
  <c r="K12" s="1"/>
  <c r="P11" i="30" s="1"/>
  <c r="N11" s="1"/>
  <c r="O11" s="1"/>
  <c r="L38" i="7"/>
  <c r="K3" i="22"/>
  <c r="I55" i="7"/>
  <c r="J55" s="1"/>
  <c r="D24" i="10"/>
  <c r="G31" i="20" s="1"/>
  <c r="F11"/>
  <c r="H11" i="22"/>
  <c r="M2" i="1"/>
  <c r="M2" i="36"/>
  <c r="L47" i="15"/>
  <c r="C8" i="7"/>
  <c r="C12" s="1"/>
  <c r="J13" i="9"/>
  <c r="K13" s="1"/>
  <c r="P12" i="29" s="1"/>
  <c r="N12" s="1"/>
  <c r="O12" s="1"/>
  <c r="F44" i="9"/>
  <c r="H21"/>
  <c r="D8" i="7"/>
  <c r="D12" s="1"/>
  <c r="G44" i="9"/>
  <c r="I7"/>
  <c r="I32" i="7"/>
  <c r="J32" s="1"/>
  <c r="K34"/>
  <c r="I25"/>
  <c r="J25" s="1"/>
  <c r="E106" i="15"/>
  <c r="I11" i="20"/>
  <c r="M41" i="12"/>
  <c r="L40" i="7" s="1"/>
  <c r="L28" i="15"/>
  <c r="L22" s="1"/>
  <c r="K57" i="7" s="1"/>
  <c r="H49" i="15"/>
  <c r="F47"/>
  <c r="I45"/>
  <c r="F28"/>
  <c r="F22" s="1"/>
  <c r="E57" i="7" s="1"/>
  <c r="H14" i="12"/>
  <c r="G37" i="7" s="1"/>
  <c r="H50" i="15"/>
  <c r="J80"/>
  <c r="K80" s="1"/>
  <c r="J34" i="12"/>
  <c r="K34" s="1"/>
  <c r="M30" i="9"/>
  <c r="R29" i="29" s="1"/>
  <c r="J32" i="11"/>
  <c r="K32" s="1"/>
  <c r="P30" i="32" s="1"/>
  <c r="N30" s="1"/>
  <c r="L44" i="9"/>
  <c r="Q43" i="29" s="1"/>
  <c r="C24" i="10"/>
  <c r="C15" i="7"/>
  <c r="A22" i="11"/>
  <c r="A20" i="32" s="1"/>
  <c r="A38" s="1"/>
  <c r="Q3" i="33"/>
  <c r="R29" i="30"/>
  <c r="R37" s="1"/>
  <c r="L22" i="8"/>
  <c r="D11" i="9"/>
  <c r="J9" i="10"/>
  <c r="K9" s="1"/>
  <c r="P8" i="30" s="1"/>
  <c r="N8" s="1"/>
  <c r="O8" s="1"/>
  <c r="H106" i="15"/>
  <c r="E49" i="12"/>
  <c r="D41" i="7" s="1"/>
  <c r="F39" i="15"/>
  <c r="J9" i="14"/>
  <c r="K9" s="1"/>
  <c r="M49" i="15"/>
  <c r="L40"/>
  <c r="G40" i="9"/>
  <c r="J38"/>
  <c r="K38" s="1"/>
  <c r="P37" i="29" s="1"/>
  <c r="N37" s="1"/>
  <c r="O37" s="1"/>
  <c r="I9" i="7"/>
  <c r="J9" s="1"/>
  <c r="F23" i="11"/>
  <c r="J75" i="15"/>
  <c r="K75" s="1"/>
  <c r="J11" i="10"/>
  <c r="K11" s="1"/>
  <c r="P10" i="30" s="1"/>
  <c r="M2" i="46"/>
  <c r="M2" i="14"/>
  <c r="L15" i="7"/>
  <c r="K8"/>
  <c r="R39" i="32"/>
  <c r="M44" i="9"/>
  <c r="R43" i="29" s="1"/>
  <c r="J72" i="15"/>
  <c r="F34" i="7"/>
  <c r="F49" i="12"/>
  <c r="E41" i="7" s="1"/>
  <c r="G41" i="12"/>
  <c r="C36"/>
  <c r="F14" i="20" s="1"/>
  <c r="J39" i="12"/>
  <c r="G11" i="20"/>
  <c r="M41" i="15"/>
  <c r="H46"/>
  <c r="G42"/>
  <c r="G38"/>
  <c r="J30"/>
  <c r="K30" s="1"/>
  <c r="G28"/>
  <c r="G22" s="1"/>
  <c r="F57" i="7" s="1"/>
  <c r="Q27" i="28"/>
  <c r="G49" i="15"/>
  <c r="E48"/>
  <c r="J74"/>
  <c r="I38" i="10"/>
  <c r="F38"/>
  <c r="E19" i="7" s="1"/>
  <c r="E20" s="1"/>
  <c r="I23"/>
  <c r="J23" s="1"/>
  <c r="G8"/>
  <c r="D7" i="9"/>
  <c r="H11"/>
  <c r="J24"/>
  <c r="K24" s="1"/>
  <c r="P23" i="29" s="1"/>
  <c r="N23" s="1"/>
  <c r="O23" s="1"/>
  <c r="J25" i="9"/>
  <c r="K25" s="1"/>
  <c r="P24" i="29" s="1"/>
  <c r="N24" s="1"/>
  <c r="O24" s="1"/>
  <c r="J47" i="9"/>
  <c r="K47" s="1"/>
  <c r="P46" i="29" s="1"/>
  <c r="N46" s="1"/>
  <c r="J49" i="9"/>
  <c r="K49" s="1"/>
  <c r="P48" i="29" s="1"/>
  <c r="N48" s="1"/>
  <c r="D23" i="11"/>
  <c r="J39"/>
  <c r="K39" s="1"/>
  <c r="P37" i="32" s="1"/>
  <c r="N37" s="1"/>
  <c r="J38" i="11"/>
  <c r="K38" s="1"/>
  <c r="P36" i="32" s="1"/>
  <c r="N36" s="1"/>
  <c r="J34" i="11"/>
  <c r="K34" s="1"/>
  <c r="P32" i="32" s="1"/>
  <c r="N32" s="1"/>
  <c r="H41" i="11"/>
  <c r="J29"/>
  <c r="J15"/>
  <c r="K15" s="1"/>
  <c r="P13" i="32" s="1"/>
  <c r="N13" s="1"/>
  <c r="C30" i="9"/>
  <c r="J12" i="8"/>
  <c r="J12" i="9"/>
  <c r="K12" s="1"/>
  <c r="P11" i="29" s="1"/>
  <c r="N11" s="1"/>
  <c r="O11" s="1"/>
  <c r="A285" i="47"/>
  <c r="A35" i="8" s="1"/>
  <c r="A34" i="28" s="1"/>
  <c r="A17" i="8"/>
  <c r="A16" i="28" s="1"/>
  <c r="A17" i="11"/>
  <c r="A15" i="32" s="1"/>
  <c r="A33" s="1"/>
  <c r="A276" i="48"/>
  <c r="A35" i="11" s="1"/>
  <c r="A274" i="47"/>
  <c r="A34" i="8" s="1"/>
  <c r="A33" i="28" s="1"/>
  <c r="A95" i="47"/>
  <c r="A263" s="1"/>
  <c r="A33" i="8" s="1"/>
  <c r="A32" i="28" s="1"/>
  <c r="A18" i="11"/>
  <c r="A16" i="32" s="1"/>
  <c r="A34" s="1"/>
  <c r="A265" i="48"/>
  <c r="A34" i="11" s="1"/>
  <c r="A13"/>
  <c r="A11" i="32" s="1"/>
  <c r="A29" s="1"/>
  <c r="A232" i="48"/>
  <c r="A31" i="11" s="1"/>
  <c r="A9"/>
  <c r="A7" i="32" s="1"/>
  <c r="A25" s="1"/>
  <c r="A188" i="48"/>
  <c r="A27" i="11" s="1"/>
  <c r="A62" i="47"/>
  <c r="A199" i="48"/>
  <c r="A28" i="11" s="1"/>
  <c r="A18" i="47"/>
  <c r="A241"/>
  <c r="A31" i="8" s="1"/>
  <c r="A30" i="28" s="1"/>
  <c r="A221" i="48"/>
  <c r="A30" i="11" s="1"/>
  <c r="A197" i="47"/>
  <c r="A27" i="8" s="1"/>
  <c r="A26" i="28" s="1"/>
  <c r="A175" i="47"/>
  <c r="A25" i="8" s="1"/>
  <c r="A24" i="28" s="1"/>
  <c r="A177" i="48"/>
  <c r="A26" i="11" s="1"/>
  <c r="A208" i="47"/>
  <c r="A28" i="8" s="1"/>
  <c r="A27" i="28" s="1"/>
  <c r="B96" i="39"/>
  <c r="A1" i="1" s="1"/>
  <c r="B86" i="39"/>
  <c r="A1" i="26" s="1"/>
  <c r="B93" i="39"/>
  <c r="A1" i="33" s="1"/>
  <c r="B87" i="39"/>
  <c r="A1" i="27" s="1"/>
  <c r="B74" i="39"/>
  <c r="A1" i="14" s="1"/>
  <c r="B98" i="39"/>
  <c r="A1" i="35" s="1"/>
  <c r="B83" i="39"/>
  <c r="A1" i="23" s="1"/>
  <c r="B67" i="39"/>
  <c r="A1" i="7" s="1"/>
  <c r="B78" i="39"/>
  <c r="A1" i="18" s="1"/>
  <c r="B77" i="39"/>
  <c r="A1" i="17" s="1"/>
  <c r="B95" i="39"/>
  <c r="A1" i="37" s="1"/>
  <c r="B91" i="39"/>
  <c r="A1" i="31" s="1"/>
  <c r="B68" i="39"/>
  <c r="A1" i="8" s="1"/>
  <c r="B70" i="39"/>
  <c r="A1" i="10" s="1"/>
  <c r="B69" i="39"/>
  <c r="A1" i="9" s="1"/>
  <c r="B71" i="39"/>
  <c r="A1" i="11" s="1"/>
  <c r="B92" i="39"/>
  <c r="A1" i="32" s="1"/>
  <c r="B81" i="39"/>
  <c r="A1" i="21" s="1"/>
  <c r="B73" i="39"/>
  <c r="A1" i="13" s="1"/>
  <c r="B94" i="39"/>
  <c r="A1" i="34" s="1"/>
  <c r="B82" i="39"/>
  <c r="A1" i="22" s="1"/>
  <c r="B85" i="39"/>
  <c r="A1" i="25" s="1"/>
  <c r="B72" i="39"/>
  <c r="A1" i="12" s="1"/>
  <c r="B79" i="39"/>
  <c r="A1" i="19" s="1"/>
  <c r="B80" i="39"/>
  <c r="A1" i="20" s="1"/>
  <c r="B84" i="39"/>
  <c r="A1" i="24" s="1"/>
  <c r="B88" i="39"/>
  <c r="A1" i="28" s="1"/>
  <c r="B99" i="39"/>
  <c r="A1" i="36" s="1"/>
  <c r="M2" i="15"/>
  <c r="M2" i="9"/>
  <c r="R3" i="32"/>
  <c r="M3" i="35"/>
  <c r="M2" i="17"/>
  <c r="M2" i="37"/>
  <c r="K2" i="24"/>
  <c r="M2" i="10"/>
  <c r="R3" i="28"/>
  <c r="M2" i="13"/>
  <c r="K2" i="25"/>
  <c r="M2" i="19"/>
  <c r="J2" i="20"/>
  <c r="M2" i="47"/>
  <c r="M2" i="26"/>
  <c r="M2" i="8"/>
  <c r="B7" i="39"/>
  <c r="B38" s="1"/>
  <c r="B17"/>
  <c r="R3" i="30"/>
  <c r="M2" i="18"/>
  <c r="M2" i="12"/>
  <c r="M2" i="52"/>
  <c r="R3" i="29"/>
  <c r="M2" i="11"/>
  <c r="R3" i="31"/>
  <c r="X36" i="45"/>
  <c r="B6" i="39"/>
  <c r="E2" i="20"/>
  <c r="H2" i="21"/>
  <c r="B16" i="39"/>
  <c r="O3" i="33" s="1"/>
  <c r="B4" i="39"/>
  <c r="F2" i="21" s="1"/>
  <c r="D79" i="37"/>
  <c r="K13" i="7"/>
  <c r="Q26" i="30"/>
  <c r="J10" i="12"/>
  <c r="G14"/>
  <c r="I17" i="7"/>
  <c r="J17" s="1"/>
  <c r="G73" i="46"/>
  <c r="G143" s="1"/>
  <c r="D41" i="11"/>
  <c r="I52" i="25"/>
  <c r="I39"/>
  <c r="I51" s="1"/>
  <c r="E47" i="15"/>
  <c r="L65" i="27"/>
  <c r="J33" i="15"/>
  <c r="K33" s="1"/>
  <c r="G48"/>
  <c r="K35" i="17"/>
  <c r="K36" s="1"/>
  <c r="J36"/>
  <c r="F14" i="12"/>
  <c r="E37" i="7" s="1"/>
  <c r="K13" i="26"/>
  <c r="K16" s="1"/>
  <c r="K30" s="1"/>
  <c r="K57" s="1"/>
  <c r="J16"/>
  <c r="J41" i="22"/>
  <c r="J10" s="1"/>
  <c r="L44" i="14" s="1"/>
  <c r="K11" i="7"/>
  <c r="L8" i="34"/>
  <c r="L79" s="1"/>
  <c r="L8" i="15"/>
  <c r="G7" i="7"/>
  <c r="H24" i="10"/>
  <c r="H63" s="1"/>
  <c r="H20" i="9"/>
  <c r="H17" s="1"/>
  <c r="H39" i="46"/>
  <c r="H73" s="1"/>
  <c r="M25" i="8"/>
  <c r="M340" i="47"/>
  <c r="E70" i="15"/>
  <c r="E38" i="10"/>
  <c r="D19" i="7" s="1"/>
  <c r="D20" s="1"/>
  <c r="K33" i="26"/>
  <c r="K36" s="1"/>
  <c r="J36"/>
  <c r="J61" i="16"/>
  <c r="I61" i="7" s="1"/>
  <c r="K58" i="16"/>
  <c r="K61" s="1"/>
  <c r="J61" i="7" s="1"/>
  <c r="F50" i="15"/>
  <c r="J20"/>
  <c r="K20" s="1"/>
  <c r="E45"/>
  <c r="J15"/>
  <c r="K15" s="1"/>
  <c r="M34" i="12"/>
  <c r="M36" s="1"/>
  <c r="K41" i="22"/>
  <c r="K10" s="1"/>
  <c r="M44" i="14" s="1"/>
  <c r="M38" s="1"/>
  <c r="M40" s="1"/>
  <c r="M16" s="1"/>
  <c r="L11" i="7"/>
  <c r="M24" i="10"/>
  <c r="E46" i="15"/>
  <c r="J16"/>
  <c r="K16" s="1"/>
  <c r="F38"/>
  <c r="F13"/>
  <c r="F7" s="1"/>
  <c r="K23" i="37"/>
  <c r="D27" i="15"/>
  <c r="D42" s="1"/>
  <c r="Q9" i="30"/>
  <c r="L24" i="10"/>
  <c r="J24" i="16"/>
  <c r="E29"/>
  <c r="C14" i="18"/>
  <c r="C10" i="12" s="1"/>
  <c r="C14" s="1"/>
  <c r="M18" i="9"/>
  <c r="M39" i="46"/>
  <c r="R11" i="32"/>
  <c r="R21" s="1"/>
  <c r="D53" i="34"/>
  <c r="D17" i="15" s="1"/>
  <c r="K55" i="34"/>
  <c r="K53" s="1"/>
  <c r="A18" i="8"/>
  <c r="A17" i="28" s="1"/>
  <c r="A296" i="47"/>
  <c r="A36" i="8" s="1"/>
  <c r="A35" i="28" s="1"/>
  <c r="A21" i="11"/>
  <c r="A19" i="32" s="1"/>
  <c r="A37" s="1"/>
  <c r="A320" i="48"/>
  <c r="A39" i="11" s="1"/>
  <c r="G64" i="7"/>
  <c r="I64" s="1"/>
  <c r="J64" s="1"/>
  <c r="H17" i="16"/>
  <c r="J35" i="18"/>
  <c r="K32"/>
  <c r="M38" i="15"/>
  <c r="M13"/>
  <c r="M7" s="1"/>
  <c r="C45"/>
  <c r="H8"/>
  <c r="H8" i="34"/>
  <c r="H79" s="1"/>
  <c r="J12"/>
  <c r="K12" s="1"/>
  <c r="G9" i="15"/>
  <c r="E8" i="34"/>
  <c r="E10" i="15"/>
  <c r="K46" i="37"/>
  <c r="K45" s="1"/>
  <c r="J45"/>
  <c r="D24" i="15"/>
  <c r="K12" i="37"/>
  <c r="H41" i="22"/>
  <c r="H10" s="1"/>
  <c r="D44" i="14" s="1"/>
  <c r="D38" s="1"/>
  <c r="D40" s="1"/>
  <c r="D16" s="1"/>
  <c r="G31" i="11"/>
  <c r="J31" s="1"/>
  <c r="K31" s="1"/>
  <c r="P29" i="32" s="1"/>
  <c r="N29" s="1"/>
  <c r="J232" i="48"/>
  <c r="K232" s="1"/>
  <c r="E9" i="11"/>
  <c r="E173" i="48"/>
  <c r="C39" i="15"/>
  <c r="J11"/>
  <c r="K11" s="1"/>
  <c r="K95" i="27"/>
  <c r="L95" s="1"/>
  <c r="K55" i="1"/>
  <c r="M38" i="10"/>
  <c r="H70" i="15"/>
  <c r="G56" i="7" s="1"/>
  <c r="J43" i="20"/>
  <c r="C13" i="15"/>
  <c r="C7" s="1"/>
  <c r="A14" i="8"/>
  <c r="A13" i="28" s="1"/>
  <c r="D173" i="48"/>
  <c r="J28" i="26"/>
  <c r="L53" i="27"/>
  <c r="J94" i="17"/>
  <c r="M41" i="11"/>
  <c r="G342" i="48"/>
  <c r="G343" s="1"/>
  <c r="M342"/>
  <c r="H8" i="1"/>
  <c r="H79" s="1"/>
  <c r="K51" i="37"/>
  <c r="K49" s="1"/>
  <c r="N22" i="31"/>
  <c r="N34" s="1"/>
  <c r="I77" i="15"/>
  <c r="I71" s="1"/>
  <c r="I82" s="1"/>
  <c r="G79" i="37"/>
  <c r="B65" i="7"/>
  <c r="J14" i="15"/>
  <c r="K14" s="1"/>
  <c r="G67" i="7"/>
  <c r="L17" i="16"/>
  <c r="J61" i="18"/>
  <c r="I47" i="25"/>
  <c r="I49" s="1"/>
  <c r="K23" i="27"/>
  <c r="L23" s="1"/>
  <c r="I14" i="22"/>
  <c r="G8" i="34"/>
  <c r="G79" s="1"/>
  <c r="D38" i="15"/>
  <c r="M65" i="11"/>
  <c r="J79" i="15"/>
  <c r="K79" s="1"/>
  <c r="M78"/>
  <c r="J78"/>
  <c r="K78" s="1"/>
  <c r="F77"/>
  <c r="F71" s="1"/>
  <c r="E58" i="7" s="1"/>
  <c r="J34" i="10"/>
  <c r="K34" s="1"/>
  <c r="P33" i="30" s="1"/>
  <c r="N33" s="1"/>
  <c r="O33" s="1"/>
  <c r="D8" i="52"/>
  <c r="K276" i="48"/>
  <c r="H342"/>
  <c r="H343" s="1"/>
  <c r="J36" i="11"/>
  <c r="K36" s="1"/>
  <c r="A219" i="47"/>
  <c r="A29" i="8" s="1"/>
  <c r="A28" i="28" s="1"/>
  <c r="I106" i="15"/>
  <c r="J54" i="26"/>
  <c r="K59" i="11"/>
  <c r="O20" i="33" s="1"/>
  <c r="N20" s="1"/>
  <c r="J32" i="10"/>
  <c r="K32" s="1"/>
  <c r="P31" i="30" s="1"/>
  <c r="N31" s="1"/>
  <c r="O31" s="1"/>
  <c r="L17" i="7"/>
  <c r="F79" i="37"/>
  <c r="J55" i="52"/>
  <c r="D8" i="34"/>
  <c r="A243" i="48"/>
  <c r="A32" i="11" s="1"/>
  <c r="C49" i="12"/>
  <c r="C8" i="34"/>
  <c r="C79" s="1"/>
  <c r="G47" i="12"/>
  <c r="G49" s="1"/>
  <c r="F41" i="7" s="1"/>
  <c r="L23" i="11"/>
  <c r="J10" i="10"/>
  <c r="K10" s="1"/>
  <c r="P9" i="30" s="1"/>
  <c r="N9" s="1"/>
  <c r="O9" s="1"/>
  <c r="J9" i="34"/>
  <c r="K9" s="1"/>
  <c r="J76" i="15"/>
  <c r="K76" s="1"/>
  <c r="K9" i="37"/>
  <c r="J29"/>
  <c r="K29" s="1"/>
  <c r="J95" i="27"/>
  <c r="B90" i="39"/>
  <c r="A1" i="30" s="1"/>
  <c r="J36" i="22"/>
  <c r="K37" s="1"/>
  <c r="E33" i="11"/>
  <c r="I33"/>
  <c r="K123" i="46"/>
  <c r="J7" i="10"/>
  <c r="E22" i="9"/>
  <c r="L72" i="15"/>
  <c r="L77" s="1"/>
  <c r="L71" s="1"/>
  <c r="K58" i="7" s="1"/>
  <c r="E8" i="37"/>
  <c r="L79"/>
  <c r="M51" i="29"/>
  <c r="J30" i="18"/>
  <c r="I14" i="25"/>
  <c r="I15" s="1"/>
  <c r="I27" s="1"/>
  <c r="H17" i="23"/>
  <c r="L47" i="12"/>
  <c r="L49" s="1"/>
  <c r="K41" i="7" s="1"/>
  <c r="F106" i="15"/>
  <c r="J18"/>
  <c r="K18" s="1"/>
  <c r="F48" i="16"/>
  <c r="I38"/>
  <c r="K99" i="17"/>
  <c r="K103" s="1"/>
  <c r="K44"/>
  <c r="K52" s="1"/>
  <c r="K54" s="1"/>
  <c r="D47" i="12"/>
  <c r="H41"/>
  <c r="G40" i="7" s="1"/>
  <c r="L41" i="12"/>
  <c r="K40" i="7" s="1"/>
  <c r="J27" i="15"/>
  <c r="E26"/>
  <c r="J26" s="1"/>
  <c r="J25"/>
  <c r="K25" s="1"/>
  <c r="K56" i="18"/>
  <c r="F29" i="23"/>
  <c r="F49" s="1"/>
  <c r="K29"/>
  <c r="K49" s="1"/>
  <c r="I11"/>
  <c r="I9" s="1"/>
  <c r="I29" s="1"/>
  <c r="I49" s="1"/>
  <c r="F48" i="24"/>
  <c r="F50" s="1"/>
  <c r="I17"/>
  <c r="L57" i="26"/>
  <c r="E56" i="31"/>
  <c r="J59" i="11"/>
  <c r="J71" i="34"/>
  <c r="J19" i="15"/>
  <c r="K19" s="1"/>
  <c r="C46"/>
  <c r="F41"/>
  <c r="F8" i="34"/>
  <c r="F79" s="1"/>
  <c r="C26" i="15"/>
  <c r="C41" s="1"/>
  <c r="Q6" i="33"/>
  <c r="Q26" s="1"/>
  <c r="Q31" s="1"/>
  <c r="H15" i="7"/>
  <c r="D38" i="10"/>
  <c r="G7" i="20" s="1"/>
  <c r="C74" i="15"/>
  <c r="J28" i="11"/>
  <c r="K28" s="1"/>
  <c r="P26" i="32" s="1"/>
  <c r="N26" s="1"/>
  <c r="J12" i="11"/>
  <c r="K12" s="1"/>
  <c r="P10" i="32" s="1"/>
  <c r="N10" s="1"/>
  <c r="E30" i="7"/>
  <c r="F76" i="11"/>
  <c r="E2" i="22"/>
  <c r="D2" i="20"/>
  <c r="I21" i="24"/>
  <c r="H17"/>
  <c r="J14" i="27"/>
  <c r="J48" s="1"/>
  <c r="K10"/>
  <c r="F7" i="9"/>
  <c r="J8"/>
  <c r="K8" s="1"/>
  <c r="G18"/>
  <c r="G17" s="1"/>
  <c r="G39" i="46"/>
  <c r="I19" i="9"/>
  <c r="J19" s="1"/>
  <c r="I39" i="46"/>
  <c r="M8" i="9"/>
  <c r="M7" i="46"/>
  <c r="C35" i="8"/>
  <c r="J71" i="52"/>
  <c r="K73"/>
  <c r="K71" s="1"/>
  <c r="K19" i="17"/>
  <c r="K20" s="1"/>
  <c r="J20"/>
  <c r="E36" i="12"/>
  <c r="J32"/>
  <c r="H28" i="15"/>
  <c r="H22" s="1"/>
  <c r="G57" i="7" s="1"/>
  <c r="H39" i="15"/>
  <c r="L106"/>
  <c r="K55" i="7"/>
  <c r="H23" i="24"/>
  <c r="I25"/>
  <c r="I23" s="1"/>
  <c r="E18" i="9"/>
  <c r="E39" i="46"/>
  <c r="E76"/>
  <c r="E31" i="9"/>
  <c r="H31"/>
  <c r="H30" s="1"/>
  <c r="H76" i="46"/>
  <c r="H142" s="1"/>
  <c r="D42" i="9"/>
  <c r="D40" s="1"/>
  <c r="D108" i="46"/>
  <c r="D142" s="1"/>
  <c r="I46" i="9"/>
  <c r="J46" s="1"/>
  <c r="K46" s="1"/>
  <c r="P45" i="29" s="1"/>
  <c r="N45" s="1"/>
  <c r="I123" i="46"/>
  <c r="I27" i="11"/>
  <c r="J27" s="1"/>
  <c r="K27" s="1"/>
  <c r="P25" i="32" s="1"/>
  <c r="N25" s="1"/>
  <c r="J188" i="48"/>
  <c r="K188" s="1"/>
  <c r="J55" i="46"/>
  <c r="K57"/>
  <c r="K55" s="1"/>
  <c r="K54" s="1"/>
  <c r="I33" i="7"/>
  <c r="J33" s="1"/>
  <c r="I31"/>
  <c r="J31" s="1"/>
  <c r="K45" i="18"/>
  <c r="J24" i="15"/>
  <c r="C48" i="23"/>
  <c r="C49" s="1"/>
  <c r="F99" i="27"/>
  <c r="J29" i="15"/>
  <c r="K29" s="1"/>
  <c r="J17" i="16"/>
  <c r="Q21" i="30"/>
  <c r="J9" i="12"/>
  <c r="L68" i="27"/>
  <c r="J30" i="10"/>
  <c r="K30" s="1"/>
  <c r="J45" i="52"/>
  <c r="A329" i="47"/>
  <c r="A39" i="8" s="1"/>
  <c r="A38" i="28" s="1"/>
  <c r="Q21" i="32"/>
  <c r="Q22" s="1"/>
  <c r="J10" i="18"/>
  <c r="B5" i="39"/>
  <c r="K42" i="16"/>
  <c r="K47" s="1"/>
  <c r="K48" s="1"/>
  <c r="K26"/>
  <c r="K28" s="1"/>
  <c r="K14"/>
  <c r="K16" s="1"/>
  <c r="K17" s="1"/>
  <c r="J40" i="12"/>
  <c r="K40" s="1"/>
  <c r="I14"/>
  <c r="H37" i="7" s="1"/>
  <c r="L41" i="11"/>
  <c r="J287" i="48"/>
  <c r="K287" s="1"/>
  <c r="D77" i="15"/>
  <c r="D71" s="1"/>
  <c r="J42" i="26"/>
  <c r="J32" i="15"/>
  <c r="K32" s="1"/>
  <c r="L83" i="27"/>
  <c r="H47" i="15"/>
  <c r="J29" i="34"/>
  <c r="K29" s="1"/>
  <c r="J9" i="1"/>
  <c r="K9" s="1"/>
  <c r="G43" i="20"/>
  <c r="E77" i="15"/>
  <c r="E71" s="1"/>
  <c r="D58" i="7" s="1"/>
  <c r="A20" i="11"/>
  <c r="A18" i="32" s="1"/>
  <c r="A36" s="1"/>
  <c r="L173" i="48"/>
  <c r="L343" s="1"/>
  <c r="J23" i="1"/>
  <c r="K23" s="1"/>
  <c r="D101" i="27"/>
  <c r="J45" i="18"/>
  <c r="I42" i="24"/>
  <c r="J13" i="18"/>
  <c r="F101" i="27"/>
  <c r="E79" i="52"/>
  <c r="J11" i="22"/>
  <c r="E44" i="9"/>
  <c r="J81" i="15"/>
  <c r="K81" s="1"/>
  <c r="E123" i="46"/>
  <c r="L12" i="9"/>
  <c r="F8" i="1"/>
  <c r="F79" s="1"/>
  <c r="C91" i="11"/>
  <c r="H39" i="25"/>
  <c r="I65" i="7"/>
  <c r="I46"/>
  <c r="J46" s="1"/>
  <c r="K80" i="16"/>
  <c r="J62" i="7" s="1"/>
  <c r="K37" i="16"/>
  <c r="J54" i="18"/>
  <c r="F41" i="12"/>
  <c r="H36"/>
  <c r="M44" i="15"/>
  <c r="M39"/>
  <c r="M27"/>
  <c r="M42" s="1"/>
  <c r="G46"/>
  <c r="G45"/>
  <c r="I9"/>
  <c r="J23"/>
  <c r="K23" s="1"/>
  <c r="D38" i="13"/>
  <c r="D40" s="1"/>
  <c r="J36"/>
  <c r="C48" i="24"/>
  <c r="C50" s="1"/>
  <c r="H9"/>
  <c r="H29" s="1"/>
  <c r="H99" i="27"/>
  <c r="K30"/>
  <c r="C48"/>
  <c r="C99" s="1"/>
  <c r="P26" i="33"/>
  <c r="C50" i="15"/>
  <c r="C47"/>
  <c r="G41" i="22"/>
  <c r="G10" s="1"/>
  <c r="C44" i="14" s="1"/>
  <c r="B11" i="7"/>
  <c r="E108" i="46"/>
  <c r="E41" i="9"/>
  <c r="C19"/>
  <c r="C17" s="1"/>
  <c r="C39" i="46"/>
  <c r="C27" i="8"/>
  <c r="C12"/>
  <c r="D11"/>
  <c r="K51" i="47"/>
  <c r="J40"/>
  <c r="K40" s="1"/>
  <c r="E10" i="8"/>
  <c r="J10" s="1"/>
  <c r="F9"/>
  <c r="J9" s="1"/>
  <c r="J29" i="47"/>
  <c r="K29" s="1"/>
  <c r="J31" i="17"/>
  <c r="I50" i="15"/>
  <c r="I41"/>
  <c r="E38"/>
  <c r="J35"/>
  <c r="K35" s="1"/>
  <c r="J31"/>
  <c r="K31" s="1"/>
  <c r="D15" i="27"/>
  <c r="C44" i="15"/>
  <c r="J23" i="9"/>
  <c r="K23" s="1"/>
  <c r="K161" i="47"/>
  <c r="I35" i="9"/>
  <c r="I86" i="46"/>
  <c r="M40" i="9"/>
  <c r="R39" i="29" s="1"/>
  <c r="R40"/>
  <c r="C16" i="9"/>
  <c r="C17" i="46"/>
  <c r="C16" i="8"/>
  <c r="C9"/>
  <c r="C172" i="47"/>
  <c r="D18" i="8"/>
  <c r="D8"/>
  <c r="D172" i="47"/>
  <c r="E17" i="8"/>
  <c r="J17" s="1"/>
  <c r="K17" s="1"/>
  <c r="P16" i="28" s="1"/>
  <c r="N16" s="1"/>
  <c r="J117" i="47"/>
  <c r="K117" s="1"/>
  <c r="E7" i="8"/>
  <c r="E172" i="47"/>
  <c r="J7"/>
  <c r="K7" s="1"/>
  <c r="F16" i="8"/>
  <c r="J16" s="1"/>
  <c r="J106" i="47"/>
  <c r="K106" s="1"/>
  <c r="G21" i="8"/>
  <c r="J21" s="1"/>
  <c r="J161" i="47"/>
  <c r="G15" i="8"/>
  <c r="J15" s="1"/>
  <c r="K15" s="1"/>
  <c r="P14" i="28" s="1"/>
  <c r="N14" s="1"/>
  <c r="O14" s="1"/>
  <c r="J95" i="47"/>
  <c r="K95" s="1"/>
  <c r="E35" i="8"/>
  <c r="J285" i="47"/>
  <c r="K285" s="1"/>
  <c r="G36" i="8"/>
  <c r="G340" i="47"/>
  <c r="J296"/>
  <c r="K296" s="1"/>
  <c r="I37" i="8"/>
  <c r="J37" s="1"/>
  <c r="K37" s="1"/>
  <c r="P36" i="28" s="1"/>
  <c r="N36" s="1"/>
  <c r="O36" s="1"/>
  <c r="J307" i="47"/>
  <c r="E39" i="8"/>
  <c r="J39" s="1"/>
  <c r="K39" s="1"/>
  <c r="P38" i="28" s="1"/>
  <c r="N38" s="1"/>
  <c r="O38" s="1"/>
  <c r="J329" i="47"/>
  <c r="K329" s="1"/>
  <c r="K59" i="46"/>
  <c r="K58" s="1"/>
  <c r="J58"/>
  <c r="K47" i="1"/>
  <c r="K45" s="1"/>
  <c r="J45"/>
  <c r="C173" i="48"/>
  <c r="C343" s="1"/>
  <c r="C8" i="11"/>
  <c r="C17"/>
  <c r="K107" i="48"/>
  <c r="C21" i="11"/>
  <c r="K151" i="48"/>
  <c r="C8" i="52"/>
  <c r="C79" s="1"/>
  <c r="J12"/>
  <c r="K12" s="1"/>
  <c r="G8"/>
  <c r="G79" s="1"/>
  <c r="H26" i="23"/>
  <c r="F21" i="9"/>
  <c r="G21"/>
  <c r="H32" i="23"/>
  <c r="H48" s="1"/>
  <c r="H25" i="25"/>
  <c r="D67" i="7"/>
  <c r="C66"/>
  <c r="E45"/>
  <c r="C34"/>
  <c r="G34"/>
  <c r="M62" i="18"/>
  <c r="I48" i="12"/>
  <c r="J48" s="1"/>
  <c r="K48" s="1"/>
  <c r="M46" i="15"/>
  <c r="L39"/>
  <c r="E50"/>
  <c r="E49"/>
  <c r="H48"/>
  <c r="I44"/>
  <c r="F40"/>
  <c r="E97" i="27"/>
  <c r="E99" s="1"/>
  <c r="I42" i="15"/>
  <c r="I49"/>
  <c r="F172" i="47"/>
  <c r="F342" s="1"/>
  <c r="K307"/>
  <c r="D21" i="8"/>
  <c r="E20"/>
  <c r="J20" s="1"/>
  <c r="K20" s="1"/>
  <c r="P19" i="28" s="1"/>
  <c r="N19" s="1"/>
  <c r="F19" i="8"/>
  <c r="J19" s="1"/>
  <c r="G11" i="22"/>
  <c r="M17" i="46"/>
  <c r="M14" i="9"/>
  <c r="R13" i="29" s="1"/>
  <c r="E37" i="9"/>
  <c r="E86" i="46"/>
  <c r="F42" i="9"/>
  <c r="F108" i="46"/>
  <c r="F142" s="1"/>
  <c r="L108"/>
  <c r="L41" i="9"/>
  <c r="C340" i="47"/>
  <c r="D19" i="8"/>
  <c r="K139" i="47"/>
  <c r="J128"/>
  <c r="K128" s="1"/>
  <c r="E18" i="8"/>
  <c r="J18" s="1"/>
  <c r="G7"/>
  <c r="G172" i="47"/>
  <c r="G342" s="1"/>
  <c r="I27" i="8"/>
  <c r="J27" s="1"/>
  <c r="J197" i="47"/>
  <c r="K197" s="1"/>
  <c r="M7" i="8"/>
  <c r="M172" i="47"/>
  <c r="G18" i="11"/>
  <c r="J18" s="1"/>
  <c r="K18" s="1"/>
  <c r="P16" i="32" s="1"/>
  <c r="N16" s="1"/>
  <c r="J118" i="48"/>
  <c r="K118" s="1"/>
  <c r="G22" i="11"/>
  <c r="J22" s="1"/>
  <c r="K22" s="1"/>
  <c r="P20" i="32" s="1"/>
  <c r="N20" s="1"/>
  <c r="J162" i="48"/>
  <c r="K162" s="1"/>
  <c r="K15" i="46"/>
  <c r="K12" s="1"/>
  <c r="K7" s="1"/>
  <c r="J12"/>
  <c r="J7" s="1"/>
  <c r="K110"/>
  <c r="K109" s="1"/>
  <c r="J109"/>
  <c r="A15" i="11"/>
  <c r="A13" i="32" s="1"/>
  <c r="A31" s="1"/>
  <c r="A254" i="48"/>
  <c r="A33" i="11" s="1"/>
  <c r="H8" i="52"/>
  <c r="H79" s="1"/>
  <c r="J9"/>
  <c r="K9" s="1"/>
  <c r="H7" i="9"/>
  <c r="E17" i="46"/>
  <c r="L17" i="9"/>
  <c r="Q16" i="29" s="1"/>
  <c r="M34" i="9"/>
  <c r="R33" i="29" s="1"/>
  <c r="J320" i="48"/>
  <c r="K320" s="1"/>
  <c r="J243"/>
  <c r="K243" s="1"/>
  <c r="J210"/>
  <c r="K210" s="1"/>
  <c r="J62" i="47"/>
  <c r="K62" s="1"/>
  <c r="J34" i="8"/>
  <c r="K34" s="1"/>
  <c r="P33" i="28" s="1"/>
  <c r="N33" s="1"/>
  <c r="O33" s="1"/>
  <c r="M57" i="14"/>
  <c r="M19" s="1"/>
  <c r="I17" i="46"/>
  <c r="I16" i="9"/>
  <c r="I11" s="1"/>
  <c r="F39" i="46"/>
  <c r="F73" s="1"/>
  <c r="F143" s="1"/>
  <c r="F20" i="9"/>
  <c r="L35"/>
  <c r="L86" i="46"/>
  <c r="L142" s="1"/>
  <c r="F14" i="8"/>
  <c r="J14" s="1"/>
  <c r="K14" s="1"/>
  <c r="P13" i="28" s="1"/>
  <c r="N13" s="1"/>
  <c r="O13" s="1"/>
  <c r="J84" i="47"/>
  <c r="K84" s="1"/>
  <c r="F8" i="8"/>
  <c r="J18" i="47"/>
  <c r="K18" s="1"/>
  <c r="F31" i="8"/>
  <c r="F40" s="1"/>
  <c r="J241" i="47"/>
  <c r="K241" s="1"/>
  <c r="E20" i="11"/>
  <c r="J20" s="1"/>
  <c r="K20" s="1"/>
  <c r="P18" i="32" s="1"/>
  <c r="N18" s="1"/>
  <c r="J140" i="48"/>
  <c r="K140" s="1"/>
  <c r="C29" i="11"/>
  <c r="J18" i="46"/>
  <c r="K19"/>
  <c r="K18" s="1"/>
  <c r="M40" i="15"/>
  <c r="H45"/>
  <c r="E42"/>
  <c r="I40"/>
  <c r="K33" i="16"/>
  <c r="F30" i="9"/>
  <c r="J43"/>
  <c r="K43" s="1"/>
  <c r="J265" i="48"/>
  <c r="K265" s="1"/>
  <c r="J177"/>
  <c r="K177" s="1"/>
  <c r="K67" i="46"/>
  <c r="L79" i="52"/>
  <c r="J113" i="46"/>
  <c r="K115"/>
  <c r="J136"/>
  <c r="K137"/>
  <c r="K136" s="1"/>
  <c r="J29" i="52"/>
  <c r="K29" s="1"/>
  <c r="J48" i="26"/>
  <c r="J16" i="52"/>
  <c r="K16" s="1"/>
  <c r="F8"/>
  <c r="K68"/>
  <c r="K67" s="1"/>
  <c r="J67"/>
  <c r="J10" i="9"/>
  <c r="K10" s="1"/>
  <c r="P9" i="29" s="1"/>
  <c r="N9" s="1"/>
  <c r="O9" s="1"/>
  <c r="H40" i="9"/>
  <c r="J50" i="46"/>
  <c r="J81"/>
  <c r="K87"/>
  <c r="J81" i="52"/>
  <c r="K81" s="1"/>
  <c r="K48" i="26"/>
  <c r="J56"/>
  <c r="J33" i="8"/>
  <c r="K33" s="1"/>
  <c r="P32" i="28" s="1"/>
  <c r="N32" s="1"/>
  <c r="O32" s="1"/>
  <c r="G38" i="7"/>
  <c r="L56"/>
  <c r="I13"/>
  <c r="R23" i="30"/>
  <c r="D13" i="15"/>
  <c r="R21" i="29"/>
  <c r="A1" i="52"/>
  <c r="A1" i="40"/>
  <c r="B4" i="50"/>
  <c r="B8" s="1"/>
  <c r="A1"/>
  <c r="L38" i="10" l="1"/>
  <c r="K19" i="7" s="1"/>
  <c r="K20" s="1"/>
  <c r="Q54" i="31"/>
  <c r="Q56" s="1"/>
  <c r="Q66" s="1"/>
  <c r="J101" i="27"/>
  <c r="K97"/>
  <c r="L97" s="1"/>
  <c r="J97"/>
  <c r="M38" i="13"/>
  <c r="M40" s="1"/>
  <c r="L47" i="7" s="1"/>
  <c r="I22" i="20"/>
  <c r="J17" i="13"/>
  <c r="I40" i="22"/>
  <c r="L73" i="46"/>
  <c r="I73"/>
  <c r="I43" i="20"/>
  <c r="I35" s="1"/>
  <c r="J7" i="22" s="1"/>
  <c r="J8" i="15"/>
  <c r="K8" s="1"/>
  <c r="G54" i="25"/>
  <c r="J24" i="18"/>
  <c r="I38" i="13"/>
  <c r="I40" s="1"/>
  <c r="H47" i="7" s="1"/>
  <c r="J27" i="13"/>
  <c r="E38"/>
  <c r="E40" s="1"/>
  <c r="D47" i="7" s="1"/>
  <c r="K27" i="13"/>
  <c r="K38" s="1"/>
  <c r="K40" s="1"/>
  <c r="I5" i="22" s="1"/>
  <c r="I45" i="7"/>
  <c r="J45" s="1"/>
  <c r="I30" i="9"/>
  <c r="I40"/>
  <c r="I79" i="34"/>
  <c r="J173" i="48"/>
  <c r="K173" s="1"/>
  <c r="J45" i="9"/>
  <c r="K45" s="1"/>
  <c r="K72" i="15"/>
  <c r="K55" i="11"/>
  <c r="O16" i="33" s="1"/>
  <c r="N16" s="1"/>
  <c r="N26" s="1"/>
  <c r="J55" i="11"/>
  <c r="J65" s="1"/>
  <c r="K76"/>
  <c r="J76"/>
  <c r="I91"/>
  <c r="I29" i="24"/>
  <c r="I50" s="1"/>
  <c r="H32"/>
  <c r="H48" s="1"/>
  <c r="H50" s="1"/>
  <c r="J22" i="10"/>
  <c r="K22" s="1"/>
  <c r="P21" i="30" s="1"/>
  <c r="N21" s="1"/>
  <c r="O21" s="1"/>
  <c r="I24" i="10"/>
  <c r="I63" s="1"/>
  <c r="I54" i="8" s="1"/>
  <c r="H12" i="7"/>
  <c r="K29" i="8"/>
  <c r="P28" i="28" s="1"/>
  <c r="N28" s="1"/>
  <c r="O28" s="1"/>
  <c r="K19" i="8"/>
  <c r="P18" i="28" s="1"/>
  <c r="N18" s="1"/>
  <c r="I340" i="47"/>
  <c r="I342" s="1"/>
  <c r="I32" i="8"/>
  <c r="J32" s="1"/>
  <c r="K32" s="1"/>
  <c r="P31" i="28" s="1"/>
  <c r="N31" s="1"/>
  <c r="O31" s="1"/>
  <c r="I108" i="46"/>
  <c r="K76"/>
  <c r="K113"/>
  <c r="I76"/>
  <c r="J76"/>
  <c r="I23" i="11"/>
  <c r="K47" i="7"/>
  <c r="L7" i="14"/>
  <c r="L8" s="1"/>
  <c r="L10" s="1"/>
  <c r="K50" i="7" s="1"/>
  <c r="E47"/>
  <c r="F7" i="14"/>
  <c r="F22" i="20"/>
  <c r="G5" i="22"/>
  <c r="B47" i="7"/>
  <c r="F35" i="20"/>
  <c r="G7" i="22" s="1"/>
  <c r="C8" i="14"/>
  <c r="C10" s="1"/>
  <c r="B50" i="7" s="1"/>
  <c r="D58" i="31"/>
  <c r="E57" s="1"/>
  <c r="E58"/>
  <c r="F57" s="1"/>
  <c r="F58" s="1"/>
  <c r="G57" s="1"/>
  <c r="G58" s="1"/>
  <c r="H57" s="1"/>
  <c r="H58" s="1"/>
  <c r="I57" s="1"/>
  <c r="I58" s="1"/>
  <c r="J57" s="1"/>
  <c r="J58" s="1"/>
  <c r="K57" s="1"/>
  <c r="K58" s="1"/>
  <c r="L57" s="1"/>
  <c r="L58" s="1"/>
  <c r="M57" s="1"/>
  <c r="M58" s="1"/>
  <c r="N57" s="1"/>
  <c r="P54"/>
  <c r="P56" s="1"/>
  <c r="P65"/>
  <c r="O56"/>
  <c r="O66" s="1"/>
  <c r="N65"/>
  <c r="O65"/>
  <c r="K53" i="1"/>
  <c r="M107" i="37"/>
  <c r="J30" i="26"/>
  <c r="J57" s="1"/>
  <c r="H27" i="25"/>
  <c r="H54" s="1"/>
  <c r="E54"/>
  <c r="D54"/>
  <c r="Q39" i="28"/>
  <c r="Q41" s="1"/>
  <c r="L40" i="8"/>
  <c r="M343" i="48"/>
  <c r="M23" i="11"/>
  <c r="M42" s="1"/>
  <c r="L29" i="7" s="1"/>
  <c r="C107" i="1"/>
  <c r="M107"/>
  <c r="L91" i="11"/>
  <c r="P31" i="33"/>
  <c r="L342" i="47"/>
  <c r="M342"/>
  <c r="J108" i="46"/>
  <c r="K86"/>
  <c r="K33" i="9"/>
  <c r="P32" i="29" s="1"/>
  <c r="N32" s="1"/>
  <c r="O32" s="1"/>
  <c r="K39" i="46"/>
  <c r="J39"/>
  <c r="D73"/>
  <c r="D143" s="1"/>
  <c r="M142"/>
  <c r="L143"/>
  <c r="E27" i="12"/>
  <c r="L51" i="29"/>
  <c r="I51"/>
  <c r="F51"/>
  <c r="D51"/>
  <c r="G42" i="12"/>
  <c r="F58" i="7"/>
  <c r="I55" i="25"/>
  <c r="H29" i="23"/>
  <c r="H49" s="1"/>
  <c r="I42" i="12"/>
  <c r="J66" i="7"/>
  <c r="F50"/>
  <c r="F52" s="1"/>
  <c r="K11" i="8"/>
  <c r="P10" i="28" s="1"/>
  <c r="N10" s="1"/>
  <c r="O10" s="1"/>
  <c r="H39" i="7"/>
  <c r="I38"/>
  <c r="J14" i="20"/>
  <c r="M27" i="12"/>
  <c r="D42"/>
  <c r="K21"/>
  <c r="K26" s="1"/>
  <c r="J106" i="15"/>
  <c r="G13" i="20"/>
  <c r="C39" i="7"/>
  <c r="G50"/>
  <c r="G52" s="1"/>
  <c r="H21" i="14"/>
  <c r="F42" i="12"/>
  <c r="I15" i="20"/>
  <c r="H27" i="12"/>
  <c r="I14" i="20"/>
  <c r="F40" i="7"/>
  <c r="J44" i="15"/>
  <c r="K44" s="1"/>
  <c r="K21" i="11"/>
  <c r="P19" i="32" s="1"/>
  <c r="N19" s="1"/>
  <c r="D27" i="12"/>
  <c r="C107" i="52"/>
  <c r="F8" i="20"/>
  <c r="G13" i="22" s="1"/>
  <c r="C107" i="37"/>
  <c r="C107" i="34"/>
  <c r="E91" i="11"/>
  <c r="H12" i="22"/>
  <c r="G8" i="20"/>
  <c r="H13" i="22" s="1"/>
  <c r="A1" i="46"/>
  <c r="K29" i="11"/>
  <c r="P27" i="32" s="1"/>
  <c r="N27" s="1"/>
  <c r="F13" i="20"/>
  <c r="M71" i="15"/>
  <c r="M82" s="1"/>
  <c r="C38" i="7"/>
  <c r="D2" i="22"/>
  <c r="L85" i="15"/>
  <c r="H82"/>
  <c r="F82"/>
  <c r="K9" i="22"/>
  <c r="G29" i="20"/>
  <c r="K17" i="11"/>
  <c r="P15" i="32" s="1"/>
  <c r="N15" s="1"/>
  <c r="J47" i="12"/>
  <c r="J49" s="1"/>
  <c r="G40" i="10"/>
  <c r="G44" s="1"/>
  <c r="G46" s="1"/>
  <c r="G48" s="1"/>
  <c r="G50" s="1"/>
  <c r="H41" i="8"/>
  <c r="G14" i="20"/>
  <c r="H42" i="11"/>
  <c r="G29" i="7" s="1"/>
  <c r="C42" i="12"/>
  <c r="H58" i="7"/>
  <c r="F55" i="8"/>
  <c r="F40" i="10"/>
  <c r="F44" s="1"/>
  <c r="F46" s="1"/>
  <c r="F48" s="1"/>
  <c r="F50" s="1"/>
  <c r="D28" i="15"/>
  <c r="D22" s="1"/>
  <c r="C57" i="7" s="1"/>
  <c r="K12"/>
  <c r="L42" i="12"/>
  <c r="F19" i="7"/>
  <c r="F20" s="1"/>
  <c r="F21" s="1"/>
  <c r="F24" s="1"/>
  <c r="G12"/>
  <c r="G21" s="1"/>
  <c r="G24" s="1"/>
  <c r="G26" s="1"/>
  <c r="B39"/>
  <c r="J41" i="12"/>
  <c r="F42" i="11"/>
  <c r="E29" i="7" s="1"/>
  <c r="E21"/>
  <c r="E24" s="1"/>
  <c r="E26" s="1"/>
  <c r="E40" i="10"/>
  <c r="E44" s="1"/>
  <c r="E46" s="1"/>
  <c r="E48" s="1"/>
  <c r="E50" s="1"/>
  <c r="H54" i="8"/>
  <c r="F15" i="20"/>
  <c r="Q37" i="30"/>
  <c r="H55" i="8"/>
  <c r="Q23" i="30"/>
  <c r="K74" i="15"/>
  <c r="I41" i="11"/>
  <c r="M20" i="14"/>
  <c r="D42" i="11"/>
  <c r="C29" i="7" s="1"/>
  <c r="G50" i="9"/>
  <c r="R49" i="29"/>
  <c r="J86" i="46"/>
  <c r="D50" i="9"/>
  <c r="C50"/>
  <c r="E73" i="46"/>
  <c r="D27" i="9"/>
  <c r="J17" i="46"/>
  <c r="K17"/>
  <c r="A1" i="48"/>
  <c r="F27" i="12"/>
  <c r="B37" i="7"/>
  <c r="M11" i="9"/>
  <c r="R10" i="29" s="1"/>
  <c r="J38" i="10"/>
  <c r="J20" i="9"/>
  <c r="K20" s="1"/>
  <c r="P19" i="29" s="1"/>
  <c r="N19" s="1"/>
  <c r="O19" s="1"/>
  <c r="I67" i="7"/>
  <c r="J67" s="1"/>
  <c r="G27" i="9"/>
  <c r="I17"/>
  <c r="I27" s="1"/>
  <c r="B12" i="7"/>
  <c r="G41" i="11"/>
  <c r="K27" i="15"/>
  <c r="L12" i="7"/>
  <c r="C28" i="15"/>
  <c r="C22" s="1"/>
  <c r="B57" i="7" s="1"/>
  <c r="B19"/>
  <c r="B20" s="1"/>
  <c r="L86" i="15"/>
  <c r="I49" i="12"/>
  <c r="H41" i="7" s="1"/>
  <c r="I41" s="1"/>
  <c r="J50" i="15"/>
  <c r="K50" s="1"/>
  <c r="K8" i="11"/>
  <c r="P6" i="32" s="1"/>
  <c r="N6" s="1"/>
  <c r="J46" i="15"/>
  <c r="K46" s="1"/>
  <c r="K39" i="12"/>
  <c r="K41" s="1"/>
  <c r="I8" i="7"/>
  <c r="J8" s="1"/>
  <c r="C63" i="10"/>
  <c r="C40"/>
  <c r="C44" s="1"/>
  <c r="F29" i="20"/>
  <c r="F31"/>
  <c r="F33"/>
  <c r="E40" i="7"/>
  <c r="J17" i="22"/>
  <c r="C23" i="11"/>
  <c r="R40" i="32"/>
  <c r="L42" i="11"/>
  <c r="K29" i="7" s="1"/>
  <c r="J7" i="9"/>
  <c r="P3" i="32"/>
  <c r="E28" i="15"/>
  <c r="E22" s="1"/>
  <c r="D57" i="7" s="1"/>
  <c r="I57" s="1"/>
  <c r="R39" i="30"/>
  <c r="R43" s="1"/>
  <c r="L82" i="15"/>
  <c r="J31" i="8"/>
  <c r="K31" s="1"/>
  <c r="P30" i="28" s="1"/>
  <c r="N30" s="1"/>
  <c r="O30" s="1"/>
  <c r="F17" i="9"/>
  <c r="F27" s="1"/>
  <c r="J42" i="15"/>
  <c r="K42" s="1"/>
  <c r="F22" i="8"/>
  <c r="F54" s="1"/>
  <c r="K18"/>
  <c r="P17" i="28" s="1"/>
  <c r="N17" s="1"/>
  <c r="K16" i="8"/>
  <c r="P15" i="28" s="1"/>
  <c r="N15" s="1"/>
  <c r="M28" i="15"/>
  <c r="M22" s="1"/>
  <c r="H19" i="7"/>
  <c r="H20" s="1"/>
  <c r="D40" i="10"/>
  <c r="D44" s="1"/>
  <c r="J65" i="7"/>
  <c r="J11"/>
  <c r="D63" i="10"/>
  <c r="G18" i="20"/>
  <c r="G33"/>
  <c r="G34"/>
  <c r="K12" i="8"/>
  <c r="P11" i="28" s="1"/>
  <c r="N11" s="1"/>
  <c r="O11" s="1"/>
  <c r="K26" i="15"/>
  <c r="R22" i="32"/>
  <c r="J16" i="9"/>
  <c r="J11" s="1"/>
  <c r="C43" i="15"/>
  <c r="C51" s="1"/>
  <c r="J45"/>
  <c r="K45" s="1"/>
  <c r="H27" i="9"/>
  <c r="J47" i="15"/>
  <c r="A15" i="8"/>
  <c r="A14" i="28" s="1"/>
  <c r="A230" i="47"/>
  <c r="A30" i="8" s="1"/>
  <c r="A29" i="28" s="1"/>
  <c r="A12" i="8"/>
  <c r="A11" i="28" s="1"/>
  <c r="A8" i="8"/>
  <c r="A7" i="28" s="1"/>
  <c r="A186" i="47"/>
  <c r="A26" i="8" s="1"/>
  <c r="A25" i="28" s="1"/>
  <c r="A1" i="47"/>
  <c r="L2" i="34"/>
  <c r="L2" i="19"/>
  <c r="L2" i="1"/>
  <c r="I2" i="20"/>
  <c r="L2" i="46"/>
  <c r="L2" i="18"/>
  <c r="L2" i="8"/>
  <c r="J3" i="22"/>
  <c r="L2" i="48"/>
  <c r="L2" i="13"/>
  <c r="L2" i="47"/>
  <c r="L2" i="16"/>
  <c r="K2" i="7"/>
  <c r="J2" i="25"/>
  <c r="L2" i="10"/>
  <c r="L2" i="26"/>
  <c r="L2" i="11"/>
  <c r="J2" i="23"/>
  <c r="K3" i="35"/>
  <c r="J2" i="24"/>
  <c r="L2" i="9"/>
  <c r="Q3" i="32"/>
  <c r="L2" i="15"/>
  <c r="P3" i="33"/>
  <c r="L2" i="17"/>
  <c r="Q3" i="30"/>
  <c r="Q3" i="31"/>
  <c r="L2" i="14"/>
  <c r="L2" i="52"/>
  <c r="Q3" i="28"/>
  <c r="L2" i="37"/>
  <c r="Q3" i="29"/>
  <c r="L2" i="36"/>
  <c r="L2" i="12"/>
  <c r="P3" i="31"/>
  <c r="P3" i="30"/>
  <c r="C2" i="20"/>
  <c r="P3" i="29"/>
  <c r="P3" i="28"/>
  <c r="I3" i="35"/>
  <c r="J15" i="20"/>
  <c r="L39" i="7"/>
  <c r="J13" i="20"/>
  <c r="M42" i="12"/>
  <c r="L34" i="9"/>
  <c r="Q34" i="29"/>
  <c r="L40" i="9"/>
  <c r="Q39" i="29" s="1"/>
  <c r="Q40"/>
  <c r="E22" i="8"/>
  <c r="J7"/>
  <c r="K7" s="1"/>
  <c r="D342" i="47"/>
  <c r="E40" i="9"/>
  <c r="J41"/>
  <c r="D7" i="14"/>
  <c r="G35" i="20"/>
  <c r="H7" i="22" s="1"/>
  <c r="G22" i="20"/>
  <c r="C47" i="7"/>
  <c r="H5" i="22"/>
  <c r="G39" i="7"/>
  <c r="H42" i="12"/>
  <c r="L11" i="9"/>
  <c r="Q11" i="29"/>
  <c r="J14" i="18"/>
  <c r="J19"/>
  <c r="H17" i="22"/>
  <c r="G30" i="20"/>
  <c r="D82" i="15"/>
  <c r="D86"/>
  <c r="C58" i="7"/>
  <c r="E30" i="9"/>
  <c r="J31"/>
  <c r="J36" i="12"/>
  <c r="K32"/>
  <c r="K36" s="1"/>
  <c r="L10" i="27"/>
  <c r="K14"/>
  <c r="K7" i="10"/>
  <c r="C80" i="18"/>
  <c r="B41" i="7"/>
  <c r="J10" i="15"/>
  <c r="K10" s="1"/>
  <c r="E40"/>
  <c r="J40" s="1"/>
  <c r="K40" s="1"/>
  <c r="I31" i="20"/>
  <c r="L63" i="10"/>
  <c r="L54" i="8" s="1"/>
  <c r="I33" i="20"/>
  <c r="L40" i="10"/>
  <c r="L44" s="1"/>
  <c r="J33" i="20"/>
  <c r="J18"/>
  <c r="J29"/>
  <c r="M63" i="10"/>
  <c r="J31" i="20"/>
  <c r="J34"/>
  <c r="M40" i="10"/>
  <c r="M44" s="1"/>
  <c r="M40" i="8"/>
  <c r="M55" s="1"/>
  <c r="R24" i="28"/>
  <c r="R39" s="1"/>
  <c r="F40" i="9"/>
  <c r="F50" s="1"/>
  <c r="J42"/>
  <c r="K42" s="1"/>
  <c r="P41" i="29" s="1"/>
  <c r="N41" s="1"/>
  <c r="J35" i="8"/>
  <c r="K35" s="1"/>
  <c r="P34" i="28" s="1"/>
  <c r="N34" s="1"/>
  <c r="O34" s="1"/>
  <c r="E40" i="8"/>
  <c r="E55" s="1"/>
  <c r="E342" i="47"/>
  <c r="J172"/>
  <c r="K172" s="1"/>
  <c r="P29" i="30"/>
  <c r="J14" i="12"/>
  <c r="J27" s="1"/>
  <c r="K9"/>
  <c r="E17" i="9"/>
  <c r="J18"/>
  <c r="M7"/>
  <c r="R7" i="29"/>
  <c r="E34" i="7"/>
  <c r="I30"/>
  <c r="E21" i="9"/>
  <c r="J22"/>
  <c r="D343" i="48"/>
  <c r="J7" i="20"/>
  <c r="L19" i="7"/>
  <c r="L20" s="1"/>
  <c r="J9" i="11"/>
  <c r="K9" s="1"/>
  <c r="P7" i="32" s="1"/>
  <c r="N7" s="1"/>
  <c r="E23" i="11"/>
  <c r="D47" i="15"/>
  <c r="K17"/>
  <c r="M17" i="9"/>
  <c r="R16" i="29" s="1"/>
  <c r="R17"/>
  <c r="K24" i="16"/>
  <c r="K29" s="1"/>
  <c r="J29"/>
  <c r="L38" i="15"/>
  <c r="L43" s="1"/>
  <c r="L51" s="1"/>
  <c r="L13"/>
  <c r="L7" s="1"/>
  <c r="O26" i="30"/>
  <c r="F79" i="52"/>
  <c r="J8"/>
  <c r="K8" s="1"/>
  <c r="C11" i="9"/>
  <c r="C27" s="1"/>
  <c r="J35"/>
  <c r="I34"/>
  <c r="K10" i="8"/>
  <c r="P9" i="28" s="1"/>
  <c r="N9" s="1"/>
  <c r="O9" s="1"/>
  <c r="K31" i="27"/>
  <c r="L30"/>
  <c r="K101"/>
  <c r="L101" s="1"/>
  <c r="I39" i="15"/>
  <c r="I43" s="1"/>
  <c r="I51" s="1"/>
  <c r="I13"/>
  <c r="I7" s="1"/>
  <c r="D49" i="12"/>
  <c r="C41" i="7" s="1"/>
  <c r="D79" i="34"/>
  <c r="D79" i="52"/>
  <c r="G39" i="15"/>
  <c r="G13"/>
  <c r="G7" s="1"/>
  <c r="K39" i="14"/>
  <c r="K35" i="18"/>
  <c r="D56" i="7"/>
  <c r="I56" s="1"/>
  <c r="J56" s="1"/>
  <c r="E82" i="15"/>
  <c r="J70"/>
  <c r="K70" s="1"/>
  <c r="G27" i="12"/>
  <c r="F37" i="7"/>
  <c r="I37" s="1"/>
  <c r="M22" i="8"/>
  <c r="R6" i="28"/>
  <c r="R21" s="1"/>
  <c r="J37" i="9"/>
  <c r="K37" s="1"/>
  <c r="P36" i="29" s="1"/>
  <c r="N36" s="1"/>
  <c r="O36" s="1"/>
  <c r="E34" i="9"/>
  <c r="G40" i="8"/>
  <c r="G55" s="1"/>
  <c r="J36"/>
  <c r="K36" s="1"/>
  <c r="P35" i="28" s="1"/>
  <c r="N35" s="1"/>
  <c r="O35" s="1"/>
  <c r="D22" i="8"/>
  <c r="C40"/>
  <c r="C55" s="1"/>
  <c r="K27"/>
  <c r="C2" i="48"/>
  <c r="C2" i="13"/>
  <c r="C2" i="25"/>
  <c r="C2" i="15"/>
  <c r="C2" i="52"/>
  <c r="C2" i="8"/>
  <c r="C2" i="11"/>
  <c r="C2" i="23"/>
  <c r="C2" i="19"/>
  <c r="F2" i="20"/>
  <c r="C2" i="24"/>
  <c r="C2" i="31"/>
  <c r="C2" i="37"/>
  <c r="C2" i="18"/>
  <c r="C2" i="17"/>
  <c r="C2" i="1"/>
  <c r="C2" i="28"/>
  <c r="C2" i="9"/>
  <c r="C2" i="47"/>
  <c r="C2" i="36"/>
  <c r="C2" i="12"/>
  <c r="C2" i="29"/>
  <c r="C2" i="16"/>
  <c r="C2" i="32"/>
  <c r="B2" i="7"/>
  <c r="C2" i="34"/>
  <c r="C2" i="27"/>
  <c r="C2" i="10"/>
  <c r="C2" i="26"/>
  <c r="C2" i="14"/>
  <c r="C2" i="46"/>
  <c r="C2" i="33"/>
  <c r="C2" i="30"/>
  <c r="H14" i="20"/>
  <c r="D39" i="7"/>
  <c r="E42" i="12"/>
  <c r="K53" i="14"/>
  <c r="K57" s="1"/>
  <c r="K19" s="1"/>
  <c r="I19" s="1"/>
  <c r="J19" s="1"/>
  <c r="K61" i="18"/>
  <c r="K62" s="1"/>
  <c r="J8" i="37"/>
  <c r="E79"/>
  <c r="E41" i="11"/>
  <c r="J33"/>
  <c r="J53" i="52"/>
  <c r="K55"/>
  <c r="K53" s="1"/>
  <c r="M107"/>
  <c r="J8" i="20"/>
  <c r="K13" i="22" s="1"/>
  <c r="K24" i="15"/>
  <c r="D39"/>
  <c r="D43" s="1"/>
  <c r="J8" i="34"/>
  <c r="J79" s="1"/>
  <c r="E79"/>
  <c r="H38" i="15"/>
  <c r="H43" s="1"/>
  <c r="H51" s="1"/>
  <c r="H13"/>
  <c r="H7" s="1"/>
  <c r="C43" i="14"/>
  <c r="C38" s="1"/>
  <c r="C40" s="1"/>
  <c r="C16" s="1"/>
  <c r="C20" s="1"/>
  <c r="B51" i="7" s="1"/>
  <c r="F18" i="20"/>
  <c r="K10" i="12"/>
  <c r="F34" i="20"/>
  <c r="J8" i="8"/>
  <c r="K8" s="1"/>
  <c r="P7" i="28" s="1"/>
  <c r="N7" s="1"/>
  <c r="O7" s="1"/>
  <c r="J340" i="47"/>
  <c r="K340" s="1"/>
  <c r="K13" i="18"/>
  <c r="J48" i="15"/>
  <c r="K48" s="1"/>
  <c r="Q40" i="32"/>
  <c r="J342" i="48"/>
  <c r="K342" s="1"/>
  <c r="M50" i="9"/>
  <c r="J28" i="15"/>
  <c r="I27" i="12"/>
  <c r="K21" i="8"/>
  <c r="P20" i="28" s="1"/>
  <c r="N20" s="1"/>
  <c r="O20" s="1"/>
  <c r="D21" i="7"/>
  <c r="D24" s="1"/>
  <c r="D26" s="1"/>
  <c r="J54" i="46"/>
  <c r="H50" i="9"/>
  <c r="K38" i="10"/>
  <c r="H7" i="20" s="1"/>
  <c r="N56" i="31"/>
  <c r="I15" i="7"/>
  <c r="J15" s="1"/>
  <c r="I54" i="25"/>
  <c r="K19" i="9"/>
  <c r="P18" i="29" s="1"/>
  <c r="N18" s="1"/>
  <c r="O18" s="1"/>
  <c r="C22" i="8"/>
  <c r="J62" i="18"/>
  <c r="J9" i="15"/>
  <c r="K9" s="1"/>
  <c r="M73" i="46"/>
  <c r="H40" i="10"/>
  <c r="H44" s="1"/>
  <c r="H46" s="1"/>
  <c r="H48" s="1"/>
  <c r="H50" s="1"/>
  <c r="I44" i="9"/>
  <c r="J77" i="15"/>
  <c r="J71" s="1"/>
  <c r="I7" i="7"/>
  <c r="J7" s="1"/>
  <c r="L87" i="15"/>
  <c r="C27" i="12"/>
  <c r="I30" i="20"/>
  <c r="K38" i="16"/>
  <c r="K108" i="46"/>
  <c r="G22" i="8"/>
  <c r="C41" i="11"/>
  <c r="J49" i="15"/>
  <c r="K49" s="1"/>
  <c r="C342" i="47"/>
  <c r="C73" i="46"/>
  <c r="C143" s="1"/>
  <c r="K9" i="8"/>
  <c r="P8" i="28" s="1"/>
  <c r="N8" s="1"/>
  <c r="O8" s="1"/>
  <c r="E13" i="15"/>
  <c r="E7" s="1"/>
  <c r="J8" i="1"/>
  <c r="E41" i="15"/>
  <c r="J41" s="1"/>
  <c r="K41" s="1"/>
  <c r="E142" i="46"/>
  <c r="J99" i="27"/>
  <c r="G23" i="11"/>
  <c r="D55" i="8"/>
  <c r="C19" i="7"/>
  <c r="C20" s="1"/>
  <c r="C21" s="1"/>
  <c r="C24" s="1"/>
  <c r="C26" s="1"/>
  <c r="M43" i="15"/>
  <c r="M51" s="1"/>
  <c r="F43"/>
  <c r="F51" s="1"/>
  <c r="H143" i="46"/>
  <c r="H43" i="20"/>
  <c r="M107" i="34"/>
  <c r="C77" i="15"/>
  <c r="C71" s="1"/>
  <c r="E343" i="48"/>
  <c r="J343" s="1"/>
  <c r="I29" i="20"/>
  <c r="D20" i="14"/>
  <c r="P42" i="29"/>
  <c r="N42" s="1"/>
  <c r="P22"/>
  <c r="N22" s="1"/>
  <c r="O22" s="1"/>
  <c r="D7" i="15"/>
  <c r="P34" i="32"/>
  <c r="J13" i="7"/>
  <c r="P7" i="29"/>
  <c r="N7" s="1"/>
  <c r="O7" s="1"/>
  <c r="K7" i="9"/>
  <c r="N8" i="32"/>
  <c r="N10" i="30"/>
  <c r="I7" i="20" l="1"/>
  <c r="L55" i="8"/>
  <c r="J35" i="20"/>
  <c r="K7" i="22" s="1"/>
  <c r="J22" i="20"/>
  <c r="K5" i="22"/>
  <c r="M7" i="14"/>
  <c r="M8" s="1"/>
  <c r="M10" s="1"/>
  <c r="L50" i="7" s="1"/>
  <c r="J38" i="13"/>
  <c r="H21" i="7"/>
  <c r="H24" s="1"/>
  <c r="H26" s="1"/>
  <c r="I40" i="8"/>
  <c r="I41" s="1"/>
  <c r="L41"/>
  <c r="I142" i="46"/>
  <c r="I143" s="1"/>
  <c r="I7" i="14"/>
  <c r="I8" s="1"/>
  <c r="E7"/>
  <c r="M21"/>
  <c r="K6" i="22" s="1"/>
  <c r="I40" i="10"/>
  <c r="I44" s="1"/>
  <c r="I46" s="1"/>
  <c r="I48" s="1"/>
  <c r="I50" s="1"/>
  <c r="I47" i="7"/>
  <c r="J47" s="1"/>
  <c r="J44" i="9"/>
  <c r="K77" i="15"/>
  <c r="K71" s="1"/>
  <c r="K86" s="1"/>
  <c r="O26" i="33"/>
  <c r="K65" i="11"/>
  <c r="J91"/>
  <c r="I41" i="22"/>
  <c r="I10" s="1"/>
  <c r="K44" i="14" s="1"/>
  <c r="J24" i="10"/>
  <c r="J63" s="1"/>
  <c r="J342" i="47"/>
  <c r="K342" s="1"/>
  <c r="J73" i="46"/>
  <c r="I42" i="11"/>
  <c r="H29" i="7" s="1"/>
  <c r="F8" i="14"/>
  <c r="F10" s="1"/>
  <c r="H35" i="20"/>
  <c r="I7" i="22" s="1"/>
  <c r="H22" i="20"/>
  <c r="B52" i="7"/>
  <c r="P58" i="31"/>
  <c r="Q57" s="1"/>
  <c r="Q58" s="1"/>
  <c r="R57" s="1"/>
  <c r="R58" s="1"/>
  <c r="P66"/>
  <c r="J142" i="46"/>
  <c r="K142"/>
  <c r="K73"/>
  <c r="M143"/>
  <c r="K79" i="52"/>
  <c r="E44" i="12"/>
  <c r="E62" s="1"/>
  <c r="G44"/>
  <c r="G62" s="1"/>
  <c r="H44"/>
  <c r="H62" s="1"/>
  <c r="M86" i="15"/>
  <c r="I44" i="12"/>
  <c r="I62" s="1"/>
  <c r="I58" i="7"/>
  <c r="M44" i="12"/>
  <c r="F51" i="9"/>
  <c r="F44" i="12"/>
  <c r="F62" s="1"/>
  <c r="D85" i="15"/>
  <c r="I40" i="7"/>
  <c r="J40" s="1"/>
  <c r="J38"/>
  <c r="D44" i="12"/>
  <c r="D62" s="1"/>
  <c r="K47"/>
  <c r="K49" s="1"/>
  <c r="M80" i="18" s="1"/>
  <c r="K106" i="15"/>
  <c r="D87"/>
  <c r="J30" i="20"/>
  <c r="L58" i="7"/>
  <c r="K17" i="22"/>
  <c r="K343" i="48"/>
  <c r="H11" i="20"/>
  <c r="L51" i="7"/>
  <c r="B21"/>
  <c r="B24" s="1"/>
  <c r="B26" s="1"/>
  <c r="Q39" i="30"/>
  <c r="Q43" s="1"/>
  <c r="Q46" s="1"/>
  <c r="I19" i="7"/>
  <c r="I20" s="1"/>
  <c r="I50" i="9"/>
  <c r="I51" s="1"/>
  <c r="Q45" i="32"/>
  <c r="G51" i="9"/>
  <c r="C44" i="12"/>
  <c r="C62" s="1"/>
  <c r="G42" i="11"/>
  <c r="F29" i="7" s="1"/>
  <c r="J40" i="8"/>
  <c r="J55" s="1"/>
  <c r="K21" i="7"/>
  <c r="K24" s="1"/>
  <c r="K26" s="1"/>
  <c r="J37"/>
  <c r="J82" i="15"/>
  <c r="C85"/>
  <c r="I12" i="7"/>
  <c r="J12" s="1"/>
  <c r="K28" i="15"/>
  <c r="K22" s="1"/>
  <c r="H51" i="9"/>
  <c r="K47" i="15"/>
  <c r="L21" i="7"/>
  <c r="L24" s="1"/>
  <c r="L26" s="1"/>
  <c r="J42" i="12"/>
  <c r="J44" s="1"/>
  <c r="J62" s="1"/>
  <c r="R45" i="32"/>
  <c r="K42" i="12"/>
  <c r="D51" i="9"/>
  <c r="E143" i="46"/>
  <c r="C51" i="9"/>
  <c r="G18" i="22"/>
  <c r="C84" i="15"/>
  <c r="J22"/>
  <c r="I39" i="7"/>
  <c r="J39" s="1"/>
  <c r="F41" i="8"/>
  <c r="C21" i="14"/>
  <c r="G6" i="22" s="1"/>
  <c r="K16" i="9"/>
  <c r="P15" i="29" s="1"/>
  <c r="N15" s="1"/>
  <c r="O15" s="1"/>
  <c r="C42" i="11"/>
  <c r="B29" i="7" s="1"/>
  <c r="M87" i="15"/>
  <c r="L57" i="7"/>
  <c r="M85" i="15"/>
  <c r="J41" i="7"/>
  <c r="D46" i="10"/>
  <c r="D48" s="1"/>
  <c r="D50" s="1"/>
  <c r="H8" i="22"/>
  <c r="G8"/>
  <c r="C46" i="10"/>
  <c r="C48" s="1"/>
  <c r="C50" s="1"/>
  <c r="J22" i="8"/>
  <c r="D51" i="15"/>
  <c r="C86"/>
  <c r="B58" i="7"/>
  <c r="G17" i="22"/>
  <c r="C82" i="15"/>
  <c r="F30" i="20"/>
  <c r="D8" i="14"/>
  <c r="D10" s="1"/>
  <c r="E41" i="8"/>
  <c r="E54"/>
  <c r="C41"/>
  <c r="C54"/>
  <c r="J39" i="15"/>
  <c r="K39" s="1"/>
  <c r="G43"/>
  <c r="G51" s="1"/>
  <c r="L46" i="10"/>
  <c r="L48" s="1"/>
  <c r="L50" s="1"/>
  <c r="J8" i="22"/>
  <c r="P6" i="28"/>
  <c r="K22" i="8"/>
  <c r="G41"/>
  <c r="G54"/>
  <c r="M41"/>
  <c r="M54"/>
  <c r="K35" i="9"/>
  <c r="J34"/>
  <c r="R6" i="29"/>
  <c r="R26" s="1"/>
  <c r="R51" s="1"/>
  <c r="M27" i="9"/>
  <c r="M51" s="1"/>
  <c r="K15" i="27"/>
  <c r="K48"/>
  <c r="L14"/>
  <c r="K31" i="9"/>
  <c r="J30"/>
  <c r="C87" i="15"/>
  <c r="J13"/>
  <c r="E50" i="9"/>
  <c r="J38" i="15"/>
  <c r="K23" i="11"/>
  <c r="M91" s="1"/>
  <c r="J57" i="7"/>
  <c r="E42" i="11"/>
  <c r="D29" i="7" s="1"/>
  <c r="K8" i="34"/>
  <c r="K79" s="1"/>
  <c r="E27" i="9"/>
  <c r="R41" i="28"/>
  <c r="N66" i="31"/>
  <c r="N58"/>
  <c r="K14" i="18"/>
  <c r="K19"/>
  <c r="L19" s="1"/>
  <c r="L13" s="1"/>
  <c r="L14" s="1"/>
  <c r="L10" i="12" s="1"/>
  <c r="J15" i="22" s="1"/>
  <c r="K43" i="14"/>
  <c r="J79" i="37"/>
  <c r="K8"/>
  <c r="K79" s="1"/>
  <c r="D41" i="8"/>
  <c r="D54"/>
  <c r="L84" i="15"/>
  <c r="J18" i="22"/>
  <c r="M46" i="10"/>
  <c r="M48" s="1"/>
  <c r="M50" s="1"/>
  <c r="K8" i="22"/>
  <c r="K44" i="9"/>
  <c r="P43" i="29" s="1"/>
  <c r="N43" s="1"/>
  <c r="O43" s="1"/>
  <c r="P44"/>
  <c r="N44" s="1"/>
  <c r="O44" s="1"/>
  <c r="J30" i="7"/>
  <c r="J34" s="1"/>
  <c r="I34"/>
  <c r="J17" i="9"/>
  <c r="K18"/>
  <c r="N29" i="30"/>
  <c r="P37"/>
  <c r="K18" i="22"/>
  <c r="M84" i="15"/>
  <c r="J79" i="1"/>
  <c r="K8"/>
  <c r="K79" s="1"/>
  <c r="K33" i="11"/>
  <c r="J41"/>
  <c r="K40" i="8"/>
  <c r="K55" s="1"/>
  <c r="P26" i="28"/>
  <c r="K22" i="9"/>
  <c r="J21"/>
  <c r="H15" i="20"/>
  <c r="K14" i="12"/>
  <c r="P6" i="30"/>
  <c r="K24" i="10"/>
  <c r="I36" i="22"/>
  <c r="I11"/>
  <c r="Q10" i="29"/>
  <c r="Q26" s="1"/>
  <c r="L27" i="9"/>
  <c r="K41"/>
  <c r="J40"/>
  <c r="Q33" i="29"/>
  <c r="Q49" s="1"/>
  <c r="L50" i="9"/>
  <c r="E43" i="15"/>
  <c r="E51" s="1"/>
  <c r="P21" i="32"/>
  <c r="P22" s="1"/>
  <c r="J23" i="11"/>
  <c r="J79" i="52"/>
  <c r="R46" i="30"/>
  <c r="N34" i="32"/>
  <c r="C51" i="7"/>
  <c r="O10" i="30"/>
  <c r="P6" i="29"/>
  <c r="N21" i="32"/>
  <c r="F26" i="7"/>
  <c r="L52" l="1"/>
  <c r="I24"/>
  <c r="I26" s="1"/>
  <c r="I55" i="8"/>
  <c r="K82" i="15"/>
  <c r="I10" i="14"/>
  <c r="H50" i="7" s="1"/>
  <c r="J7" i="14"/>
  <c r="K7" s="1"/>
  <c r="E8"/>
  <c r="J8" s="1"/>
  <c r="J40" i="10"/>
  <c r="J44" s="1"/>
  <c r="J46" s="1"/>
  <c r="J48" s="1"/>
  <c r="J50" s="1"/>
  <c r="K87" i="15"/>
  <c r="I17" i="22"/>
  <c r="K38" i="14"/>
  <c r="K40" s="1"/>
  <c r="K16" s="1"/>
  <c r="I16" s="1"/>
  <c r="O31" i="33"/>
  <c r="H8" i="20"/>
  <c r="I13" i="22" s="1"/>
  <c r="K91" i="11"/>
  <c r="J143" i="46"/>
  <c r="F21" i="14"/>
  <c r="E50" i="7"/>
  <c r="E52" s="1"/>
  <c r="J42" i="22"/>
  <c r="L43" i="14"/>
  <c r="L38" s="1"/>
  <c r="L40" s="1"/>
  <c r="L16" s="1"/>
  <c r="L20" s="1"/>
  <c r="K42" i="22"/>
  <c r="L14" i="12"/>
  <c r="K15" i="22"/>
  <c r="I34" i="20"/>
  <c r="I18"/>
  <c r="K143" i="46"/>
  <c r="J58" i="7"/>
  <c r="I29"/>
  <c r="J29" s="1"/>
  <c r="J54" i="8"/>
  <c r="J41"/>
  <c r="J19" i="7"/>
  <c r="J20" s="1"/>
  <c r="J21" s="1"/>
  <c r="I21"/>
  <c r="K85" i="15"/>
  <c r="E51" i="9"/>
  <c r="J27"/>
  <c r="K11"/>
  <c r="P10" i="29" s="1"/>
  <c r="N10" s="1"/>
  <c r="O10" s="1"/>
  <c r="J50" i="9"/>
  <c r="C50" i="7"/>
  <c r="C52" s="1"/>
  <c r="D21" i="14"/>
  <c r="H6" i="22" s="1"/>
  <c r="K63" i="10"/>
  <c r="K54" i="8" s="1"/>
  <c r="H33" i="20"/>
  <c r="K40" i="10"/>
  <c r="K44" s="1"/>
  <c r="H29" i="20"/>
  <c r="H18"/>
  <c r="H31"/>
  <c r="P17" i="29"/>
  <c r="N17" s="1"/>
  <c r="O17" s="1"/>
  <c r="K17" i="9"/>
  <c r="I9" i="22"/>
  <c r="J37"/>
  <c r="J9" s="1"/>
  <c r="H13" i="20"/>
  <c r="K27" i="12"/>
  <c r="K44" s="1"/>
  <c r="N26" i="28"/>
  <c r="P39"/>
  <c r="J7" i="15"/>
  <c r="K13"/>
  <c r="K7" s="1"/>
  <c r="P30" i="29"/>
  <c r="N30" s="1"/>
  <c r="O30" s="1"/>
  <c r="K30" i="9"/>
  <c r="L51"/>
  <c r="J42" i="11"/>
  <c r="O45" i="32" s="1"/>
  <c r="H34" i="20"/>
  <c r="H30"/>
  <c r="L48" i="27"/>
  <c r="K99"/>
  <c r="L99" s="1"/>
  <c r="K41" i="8"/>
  <c r="D84" i="15"/>
  <c r="H18" i="22"/>
  <c r="P40" i="29"/>
  <c r="N40" s="1"/>
  <c r="K40" i="9"/>
  <c r="P39" i="29" s="1"/>
  <c r="N39" s="1"/>
  <c r="O29" i="30"/>
  <c r="O37" s="1"/>
  <c r="N37"/>
  <c r="J43" i="15"/>
  <c r="K38"/>
  <c r="N6" i="30"/>
  <c r="P23"/>
  <c r="P39" s="1"/>
  <c r="P43" s="1"/>
  <c r="P21" i="29"/>
  <c r="N21" s="1"/>
  <c r="O21" s="1"/>
  <c r="K21" i="9"/>
  <c r="P20" i="29" s="1"/>
  <c r="N20" s="1"/>
  <c r="O20" s="1"/>
  <c r="P31" i="32"/>
  <c r="K41" i="11"/>
  <c r="K42" s="1"/>
  <c r="P34" i="29"/>
  <c r="N34" s="1"/>
  <c r="O34" s="1"/>
  <c r="K34" i="9"/>
  <c r="P33" i="29" s="1"/>
  <c r="N33" s="1"/>
  <c r="O33" s="1"/>
  <c r="N6" i="28"/>
  <c r="P21"/>
  <c r="N22" i="32"/>
  <c r="Q51" i="29"/>
  <c r="N6"/>
  <c r="J24" i="7" l="1"/>
  <c r="J26" s="1"/>
  <c r="J10" i="14"/>
  <c r="E10"/>
  <c r="E21" s="1"/>
  <c r="K8"/>
  <c r="K10" s="1"/>
  <c r="K20"/>
  <c r="L27" i="12"/>
  <c r="L44" s="1"/>
  <c r="L62" s="1"/>
  <c r="K37" i="7"/>
  <c r="I13" i="20"/>
  <c r="K51" i="7"/>
  <c r="K52" s="1"/>
  <c r="L21" i="14"/>
  <c r="J6" i="22" s="1"/>
  <c r="J51" i="9"/>
  <c r="O26" i="28"/>
  <c r="O39" s="1"/>
  <c r="N39"/>
  <c r="I8" i="22"/>
  <c r="K46" i="10"/>
  <c r="K48" s="1"/>
  <c r="K50" s="1"/>
  <c r="O6" i="28"/>
  <c r="O21" s="1"/>
  <c r="N21"/>
  <c r="P29" i="29"/>
  <c r="K50" i="9"/>
  <c r="P41" i="28"/>
  <c r="P46" i="30"/>
  <c r="N31" i="32"/>
  <c r="N39" s="1"/>
  <c r="N40" s="1"/>
  <c r="P39"/>
  <c r="P40" s="1"/>
  <c r="P45" s="1"/>
  <c r="O6" i="30"/>
  <c r="O23" s="1"/>
  <c r="O39" s="1"/>
  <c r="O43" s="1"/>
  <c r="N23"/>
  <c r="N39" s="1"/>
  <c r="N43" s="1"/>
  <c r="P16" i="29"/>
  <c r="K27" i="9"/>
  <c r="J51" i="15"/>
  <c r="K43"/>
  <c r="K51" s="1"/>
  <c r="M62" i="12"/>
  <c r="K62"/>
  <c r="I20" i="14"/>
  <c r="J16"/>
  <c r="J20" s="1"/>
  <c r="O6" i="29"/>
  <c r="D50" i="7" l="1"/>
  <c r="I50" s="1"/>
  <c r="J50" s="1"/>
  <c r="J21" i="14"/>
  <c r="K21"/>
  <c r="I6" i="22" s="1"/>
  <c r="O41" i="28"/>
  <c r="N41"/>
  <c r="K51" i="9"/>
  <c r="I18" i="22"/>
  <c r="K84" i="15"/>
  <c r="H51" i="7"/>
  <c r="I21" i="14"/>
  <c r="N16" i="29"/>
  <c r="P26"/>
  <c r="P49"/>
  <c r="N29"/>
  <c r="D52" i="7" l="1"/>
  <c r="P51" i="29"/>
  <c r="O16"/>
  <c r="O26" s="1"/>
  <c r="N26"/>
  <c r="H52" i="7"/>
  <c r="I51"/>
  <c r="J51" s="1"/>
  <c r="J52" s="1"/>
  <c r="N49" i="29"/>
  <c r="O29"/>
  <c r="O49" s="1"/>
  <c r="O51" l="1"/>
  <c r="N51"/>
  <c r="I52" i="7"/>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<sst xmlns="http://schemas.openxmlformats.org/spreadsheetml/2006/main" count="4059" uniqueCount="2086">
  <si>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</si>
  <si>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</si>
  <si>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</si>
  <si>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</si>
  <si>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</si>
  <si>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</si>
  <si>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</si>
  <si>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</si>
  <si>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</si>
  <si>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</si>
  <si>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</si>
  <si>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</si>
  <si>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</si>
  <si>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</si>
  <si>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</si>
  <si>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</si>
  <si>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</si>
  <si>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</si>
  <si>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</si>
  <si>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</si>
  <si>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</si>
  <si>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</si>
  <si>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</si>
  <si>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</si>
  <si>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</si>
  <si>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</si>
  <si>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</si>
  <si>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</si>
  <si>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</si>
  <si>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</si>
  <si>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</si>
  <si>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</si>
  <si>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</si>
  <si>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</si>
  <si>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</si>
  <si>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</si>
  <si>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</si>
  <si>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</si>
  <si>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</si>
  <si>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</si>
  <si>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</si>
  <si>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</si>
  <si>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</si>
  <si>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</si>
  <si>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</si>
  <si>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</si>
  <si>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</si>
  <si>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</si>
  <si>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</si>
  <si>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</si>
  <si>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</si>
  <si>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</si>
  <si>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</si>
  <si>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</si>
  <si>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</si>
  <si>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</si>
  <si>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</si>
  <si>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</si>
  <si>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</si>
  <si>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</si>
  <si>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</si>
  <si>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</si>
  <si>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</si>
  <si>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</si>
  <si>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</si>
  <si>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</si>
  <si>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</si>
  <si>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</si>
  <si>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</si>
  <si>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</si>
  <si>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</si>
  <si>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</si>
  <si>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</si>
  <si>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</si>
  <si>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</si>
  <si>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</si>
  <si>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</si>
  <si>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</si>
  <si>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</si>
  <si>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</si>
  <si>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</si>
  <si>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</si>
  <si>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</si>
  <si>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</si>
  <si>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</si>
  <si>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</si>
  <si>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</si>
  <si>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</si>
  <si>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</si>
  <si>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</si>
  <si>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</si>
  <si>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</si>
  <si>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</si>
  <si>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</si>
  <si>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</si>
  <si>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</si>
  <si>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</si>
  <si>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</si>
  <si>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</si>
  <si>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</si>
  <si>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</si>
  <si>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</si>
  <si>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</si>
  <si>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</si>
  <si>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</si>
  <si>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</si>
  <si>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</si>
  <si>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</si>
  <si>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</si>
  <si>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</si>
  <si>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</si>
  <si>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</si>
  <si>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</si>
  <si>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</si>
  <si>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</si>
  <si>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</si>
  <si>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</si>
  <si>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</si>
  <si>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</si>
  <si>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</si>
  <si>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</si>
  <si>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</si>
  <si>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</si>
  <si>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</si>
  <si>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</si>
  <si>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</si>
  <si>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</si>
  <si>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</si>
  <si>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</si>
  <si>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</si>
  <si>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</si>
  <si>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</si>
  <si>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</si>
  <si>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</si>
  <si>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</si>
  <si>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</si>
  <si>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</si>
  <si>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</si>
  <si>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</si>
  <si>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</si>
  <si>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</si>
  <si>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</si>
  <si>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</si>
  <si>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</si>
  <si>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</si>
  <si>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</si>
  <si>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</si>
  <si>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</si>
  <si>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</si>
  <si>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</si>
  <si>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</si>
  <si>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</si>
  <si>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</si>
  <si>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</si>
  <si>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</si>
  <si>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</si>
  <si>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</si>
  <si>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</si>
  <si>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</si>
  <si>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</si>
  <si>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</si>
  <si>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</si>
  <si>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</si>
  <si>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</si>
  <si>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</si>
  <si>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</si>
  <si>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</si>
  <si>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</si>
  <si>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</si>
  <si>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</si>
  <si>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</si>
  <si>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</si>
  <si>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</si>
  <si>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</si>
  <si>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</si>
  <si>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</si>
  <si>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</si>
  <si>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</si>
  <si>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</si>
  <si>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</si>
  <si>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</si>
  <si>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</si>
  <si>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</si>
  <si>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</si>
  <si>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</si>
  <si>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</si>
  <si>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</si>
  <si>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</si>
  <si>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</si>
  <si>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</si>
  <si>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</si>
  <si>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</si>
  <si>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</si>
  <si>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</si>
  <si>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</si>
  <si>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</si>
  <si>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</si>
  <si>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</si>
  <si>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</si>
  <si>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</si>
  <si>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</si>
  <si>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</si>
  <si>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</si>
  <si>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</si>
  <si>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</si>
  <si>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</si>
  <si>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</si>
  <si>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</si>
  <si>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</si>
  <si>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</si>
  <si>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</si>
  <si>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</si>
  <si>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</si>
  <si>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</si>
  <si>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</si>
  <si>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</si>
  <si>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</si>
  <si>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</si>
  <si>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</si>
  <si>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</si>
  <si>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</si>
  <si>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</si>
  <si>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</si>
  <si>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</si>
  <si>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</si>
  <si>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</si>
  <si>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</si>
  <si>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</si>
  <si>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</si>
  <si>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</si>
  <si>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</si>
  <si>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</si>
  <si>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</si>
  <si>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</si>
  <si>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</si>
  <si>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</si>
  <si>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</si>
  <si>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</si>
  <si>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</si>
  <si>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</si>
  <si>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</si>
  <si>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</si>
  <si>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</si>
  <si>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</si>
  <si>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</si>
  <si>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</si>
  <si>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</si>
  <si>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</si>
  <si>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</si>
  <si>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</si>
  <si>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</si>
  <si>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</si>
  <si>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</si>
  <si>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</si>
  <si>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</si>
  <si>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</si>
  <si>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</si>
  <si>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</si>
  <si>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</si>
  <si>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</si>
  <si>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</si>
  <si>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</si>
  <si>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</si>
  <si>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</si>
  <si>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</si>
  <si>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</si>
  <si>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</si>
  <si>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</si>
  <si>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</si>
  <si>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</si>
  <si>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</si>
  <si>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</si>
  <si>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</si>
  <si>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</si>
  <si>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</si>
  <si>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</si>
  <si>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</si>
  <si>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</si>
  <si>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</si>
  <si>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</si>
  <si>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</si>
  <si>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</si>
  <si>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</si>
  <si>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</si>
  <si>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</si>
  <si>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</si>
  <si>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</si>
  <si>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</si>
  <si>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</si>
  <si>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</si>
  <si>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</si>
  <si>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</si>
  <si>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</si>
  <si>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</si>
  <si>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</si>
  <si>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</si>
  <si>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</si>
  <si>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</si>
  <si>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</si>
  <si>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</si>
  <si>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</si>
  <si>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</si>
  <si>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</si>
  <si>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</si>
  <si>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</si>
  <si>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</si>
  <si>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</si>
  <si>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</si>
  <si>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</si>
  <si>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</si>
  <si>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</si>
  <si>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</si>
  <si>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</si>
  <si>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</si>
  <si>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</si>
  <si>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</si>
  <si>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</si>
  <si>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</si>
  <si>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</si>
  <si>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</si>
  <si>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</si>
  <si>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</si>
  <si>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</si>
  <si>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</si>
  <si>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</si>
  <si>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</si>
  <si>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</si>
  <si>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</si>
  <si>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</si>
  <si>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</si>
  <si>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</si>
  <si>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</si>
  <si>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</si>
  <si>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</si>
  <si>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</si>
  <si>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</si>
  <si>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</si>
  <si>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</si>
  <si>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</si>
  <si>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</si>
  <si>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</si>
  <si>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</si>
  <si>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</si>
  <si>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</si>
  <si>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</si>
  <si>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</si>
  <si>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</si>
  <si>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</si>
  <si>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</si>
  <si>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</si>
  <si>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</si>
  <si>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</si>
  <si>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</si>
  <si>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</si>
  <si>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</si>
  <si>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</si>
  <si>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</si>
  <si>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</si>
  <si>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</si>
  <si>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</si>
  <si>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</si>
  <si>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</si>
  <si>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</si>
  <si>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</si>
  <si>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</si>
  <si>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</si>
  <si>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</si>
  <si>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</si>
  <si>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</si>
  <si>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</si>
  <si>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</si>
  <si>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</si>
  <si>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</si>
  <si>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</si>
  <si>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</si>
  <si>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</si>
  <si>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</si>
  <si>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</si>
  <si>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</si>
  <si>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</si>
  <si>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</si>
  <si>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</si>
  <si>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</si>
  <si>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</si>
  <si>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</si>
  <si>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</si>
  <si>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</si>
  <si>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</si>
  <si>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</si>
  <si>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</si>
  <si>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</si>
  <si>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</si>
  <si>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</si>
  <si>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</si>
  <si>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</si>
  <si>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</si>
  <si>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</si>
  <si>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</si>
  <si>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</si>
  <si>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</si>
  <si>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</si>
  <si>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</si>
  <si>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</si>
  <si>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</si>
  <si>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</si>
  <si>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</si>
  <si>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</si>
  <si>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</si>
  <si>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</si>
  <si>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</si>
  <si>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</si>
  <si>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</si>
  <si>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</si>
  <si>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</si>
  <si>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</si>
  <si>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</si>
  <si>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</si>
  <si>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</si>
  <si>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</si>
  <si>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</si>
  <si>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</si>
  <si>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</si>
  <si>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</si>
  <si>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</si>
  <si>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</si>
  <si>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</si>
  <si>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</si>
  <si>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</si>
  <si>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</si>
  <si>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</si>
  <si>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</si>
  <si>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</si>
  <si>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</si>
  <si>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</si>
  <si>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</si>
  <si>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</si>
  <si>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</si>
  <si>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</si>
  <si>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</si>
  <si>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</si>
  <si>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</si>
  <si>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</si>
  <si>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</si>
  <si>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</si>
  <si>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</si>
  <si>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</si>
  <si>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</si>
  <si>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</si>
  <si>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</si>
  <si>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</si>
  <si>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</si>
  <si>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</si>
  <si>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</si>
  <si>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</si>
  <si>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</si>
  <si>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</si>
  <si>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</si>
  <si>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</si>
  <si>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</si>
  <si>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</si>
  <si>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</si>
  <si>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</si>
  <si>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</si>
  <si>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</si>
  <si>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</si>
  <si>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</si>
  <si>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</si>
  <si>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</si>
  <si>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</si>
  <si>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</si>
  <si>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</si>
  <si>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</si>
  <si>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</si>
  <si>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</si>
  <si>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</si>
  <si>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</si>
  <si>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</si>
  <si>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</si>
  <si>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</si>
  <si>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</si>
  <si>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</si>
  <si>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</si>
  <si>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</si>
  <si>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</si>
  <si>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</si>
  <si>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</si>
  <si>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</si>
  <si>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</si>
  <si>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</si>
  <si>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</si>
  <si>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</si>
  <si>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</si>
  <si>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</si>
  <si>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</si>
  <si>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</si>
  <si>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</si>
  <si>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</si>
  <si>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</si>
  <si>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</si>
  <si>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</si>
  <si>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</si>
  <si>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</si>
  <si>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</si>
  <si>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</si>
  <si>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</si>
  <si>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</si>
  <si>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</si>
  <si>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</si>
  <si>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</si>
  <si>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</si>
  <si>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</si>
  <si>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</si>
  <si>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</si>
  <si>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</si>
  <si>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</si>
  <si>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</si>
  <si>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</si>
  <si>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</si>
  <si>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</si>
  <si>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</si>
  <si>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</si>
  <si>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</si>
  <si>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</si>
  <si>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</si>
  <si>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</si>
  <si>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</si>
  <si>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</si>
  <si>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</si>
  <si>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</si>
  <si>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</si>
  <si>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</si>
  <si>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</si>
  <si>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</si>
  <si>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</si>
  <si>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</si>
  <si>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</si>
  <si>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</si>
  <si>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</si>
  <si>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</si>
  <si>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</si>
  <si>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</si>
  <si>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</si>
  <si>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</si>
  <si>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</si>
  <si>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</si>
  <si>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</si>
  <si>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</si>
  <si>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</si>
  <si>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</si>
  <si>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</si>
  <si>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</si>
  <si>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</si>
  <si>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</si>
  <si>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</si>
  <si>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</si>
  <si>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</si>
  <si>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</si>
  <si>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</si>
  <si>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</si>
  <si>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</si>
  <si>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</si>
  <si>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</si>
  <si>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</si>
  <si>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</si>
  <si>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</si>
  <si>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</si>
  <si>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</si>
  <si>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</si>
  <si>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</si>
  <si>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</si>
  <si>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</si>
  <si>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</si>
  <si>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</si>
  <si>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</si>
  <si>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</si>
  <si>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</si>
  <si>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</si>
  <si>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</si>
  <si>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</si>
  <si>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</si>
  <si>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</si>
  <si>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</si>
  <si>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</si>
  <si>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</si>
  <si>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</si>
  <si>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</si>
  <si>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</si>
  <si>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</si>
  <si>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</si>
  <si>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</si>
  <si>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</si>
  <si>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</si>
  <si>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</si>
  <si>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</si>
  <si>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</si>
  <si>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</si>
  <si>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</si>
  <si>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</si>
  <si>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</si>
  <si>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</si>
  <si>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</si>
  <si>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</si>
  <si>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</si>
  <si>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</si>
  <si>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</si>
  <si>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</si>
  <si>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</si>
  <si>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</si>
  <si>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</si>
  <si>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</si>
  <si>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</si>
  <si>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</si>
  <si>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</si>
  <si>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</si>
  <si>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</si>
  <si>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</si>
  <si>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</si>
  <si>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</si>
  <si>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</si>
  <si>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</si>
  <si>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</si>
  <si>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</si>
  <si>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</si>
  <si>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</si>
  <si>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</si>
  <si>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</si>
  <si>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</si>
  <si>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</si>
  <si>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</si>
  <si>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</si>
  <si>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</si>
  <si>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</si>
  <si>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</si>
  <si>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</si>
  <si>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</si>
  <si>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</si>
  <si>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</si>
  <si>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</si>
  <si>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</si>
  <si>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</si>
  <si>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</si>
  <si>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</si>
  <si>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</si>
  <si>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</si>
  <si>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</si>
  <si>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</si>
  <si>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</si>
  <si>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</si>
  <si>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</si>
  <si>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</si>
  <si>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</si>
  <si>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</si>
  <si>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</si>
  <si>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</si>
  <si>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</si>
  <si>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</si>
  <si>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</si>
  <si>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</si>
  <si>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</si>
  <si>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</si>
  <si>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</si>
  <si>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</si>
  <si>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</si>
  <si>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</si>
  <si>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</si>
  <si>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</si>
  <si>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</si>
  <si>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</si>
  <si>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</si>
  <si>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</si>
  <si>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</si>
  <si>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</si>
  <si>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</si>
  <si>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</si>
  <si>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</si>
  <si>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</si>
  <si>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</si>
  <si>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</si>
  <si>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</si>
  <si>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</si>
  <si>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</si>
  <si>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</si>
  <si>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</si>
  <si>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</si>
  <si>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</si>
  <si>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</si>
  <si>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</si>
  <si>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</si>
  <si>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</si>
  <si>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</si>
  <si>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</si>
  <si>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</si>
  <si>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</si>
  <si>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</si>
  <si>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</si>
  <si>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</si>
  <si>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</si>
  <si>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</si>
  <si>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</si>
  <si>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</si>
  <si>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</si>
  <si>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</si>
  <si>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</si>
  <si>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</si>
  <si>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</si>
  <si>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</si>
  <si>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</si>
  <si>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</si>
  <si>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</si>
  <si>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</si>
  <si>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</si>
  <si>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</si>
  <si>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</si>
  <si>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</si>
  <si>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</si>
  <si>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</si>
  <si>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</si>
  <si>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</si>
  <si>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</si>
  <si>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</si>
  <si>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</si>
  <si>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</si>
  <si>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</si>
  <si>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</si>
  <si>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</si>
  <si>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</si>
  <si>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</si>
  <si>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</si>
  <si>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</si>
  <si>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</si>
  <si>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</si>
  <si>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</si>
  <si>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</si>
  <si>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</si>
  <si>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</si>
  <si>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</si>
  <si>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</si>
  <si>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</si>
  <si>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</si>
  <si>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</si>
  <si>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</si>
  <si>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</si>
  <si>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</si>
  <si>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</si>
  <si>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</si>
  <si>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</si>
  <si>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</si>
  <si>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</si>
  <si>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</si>
  <si>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</si>
  <si>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</si>
  <si>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</si>
  <si>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</si>
  <si>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</si>
  <si>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</si>
  <si>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</si>
  <si>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</si>
  <si>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</si>
  <si>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</si>
  <si>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</si>
  <si>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</si>
  <si>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</si>
  <si>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</si>
  <si>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</si>
  <si>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</si>
  <si>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</si>
  <si>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</si>
  <si>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</si>
  <si>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</si>
  <si>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</si>
  <si>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</si>
  <si>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</si>
  <si>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</si>
  <si>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</si>
  <si>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</si>
  <si>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</si>
  <si>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</si>
  <si>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</si>
  <si>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</si>
  <si>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</si>
  <si>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</si>
  <si>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</si>
  <si>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</si>
  <si>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</si>
  <si>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</si>
  <si>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</si>
  <si>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</si>
  <si>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</si>
  <si>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</si>
  <si>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</si>
  <si>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</si>
  <si>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</si>
  <si>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</si>
  <si>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</si>
  <si>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</si>
  <si>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</si>
  <si>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</si>
  <si>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</si>
  <si>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</si>
  <si>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</si>
  <si>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</si>
  <si>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</si>
  <si>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</si>
  <si>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</si>
  <si>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</si>
  <si>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</si>
  <si>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</si>
  <si>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</si>
  <si>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</si>
  <si>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</si>
  <si>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</si>
  <si>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</si>
  <si>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</si>
  <si>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</si>
  <si>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</si>
  <si>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</si>
  <si>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</si>
  <si>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</si>
  <si>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</si>
  <si>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</si>
  <si>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</si>
  <si>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</si>
  <si>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</si>
  <si>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</si>
  <si>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</si>
  <si>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</si>
  <si>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</si>
  <si>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</si>
  <si>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</si>
  <si>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</si>
  <si>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</si>
  <si>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</si>
  <si>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</si>
  <si>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</si>
  <si>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</si>
  <si>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</si>
  <si>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</si>
  <si>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</si>
  <si>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</si>
  <si>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</si>
  <si>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</si>
  <si>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</si>
  <si>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</si>
  <si>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</si>
  <si>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</si>
  <si>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</si>
  <si>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</si>
  <si>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</si>
  <si>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</si>
  <si>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</si>
  <si>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</si>
  <si>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</si>
  <si>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</si>
  <si>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</si>
  <si>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</si>
  <si>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</si>
  <si>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</si>
  <si>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</si>
  <si>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</si>
  <si>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</si>
  <si>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</si>
  <si>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</si>
  <si>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</si>
  <si>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</si>
  <si>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</si>
  <si>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</si>
  <si>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</si>
  <si>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</si>
  <si>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</si>
  <si>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</si>
  <si>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</si>
  <si>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</si>
  <si>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</si>
  <si>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</si>
  <si>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</si>
  <si>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</si>
  <si>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</si>
  <si>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</si>
  <si>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</si>
  <si>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</si>
  <si>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</si>
  <si>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</si>
  <si>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</si>
  <si>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DC43 Sisonke</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</si>
  <si>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</si>
  <si>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</si>
  <si>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</si>
  <si>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</si>
  <si>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</si>
  <si>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</si>
  <si>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</si>
  <si>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</si>
  <si>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</si>
  <si>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</si>
  <si>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</si>
  <si>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</si>
  <si>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</si>
  <si>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</si>
  <si>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</si>
  <si>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</si>
  <si>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</si>
  <si>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</si>
  <si>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</si>
  <si>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</si>
  <si>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</si>
  <si>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</si>
  <si>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</si>
  <si>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</si>
  <si>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</si>
  <si>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</si>
  <si>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</si>
  <si>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</si>
  <si>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</si>
  <si>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</si>
  <si>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</si>
  <si>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</si>
  <si>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</si>
  <si>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</si>
  <si>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</si>
  <si>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</si>
  <si>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</si>
  <si>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</si>
  <si>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</si>
  <si>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</si>
  <si>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</si>
  <si>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</si>
  <si>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</si>
  <si>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</si>
  <si>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</si>
  <si>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</si>
  <si>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</si>
  <si>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</si>
  <si>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</si>
  <si>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</si>
  <si>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</si>
  <si>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</si>
  <si>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</si>
  <si>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</si>
  <si>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</si>
  <si>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</si>
  <si>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</si>
  <si>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</si>
  <si>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</si>
  <si>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</si>
  <si>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</si>
  <si>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</si>
  <si>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</si>
  <si>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</si>
  <si>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</si>
  <si>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</si>
  <si>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</si>
  <si>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</si>
  <si>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</si>
  <si>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</si>
  <si>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</si>
  <si>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</si>
  <si>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</si>
  <si>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</si>
  <si>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</si>
  <si>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</si>
  <si>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</si>
  <si>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</si>
  <si>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</si>
  <si>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</si>
  <si>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</si>
  <si>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</si>
  <si>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</si>
  <si>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</si>
  <si>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</si>
  <si>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</si>
  <si>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</si>
  <si>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</si>
  <si>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</si>
  <si>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</si>
  <si>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</si>
  <si>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</si>
  <si>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</si>
  <si>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</si>
  <si>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</si>
  <si>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</si>
  <si>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</si>
  <si>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</si>
  <si>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</si>
  <si>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</si>
  <si>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</si>
  <si>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</si>
  <si>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</si>
  <si>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</si>
  <si>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</si>
  <si>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</si>
  <si>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</si>
  <si>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</si>
  <si>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</si>
  <si>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</si>
  <si>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</si>
  <si>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</si>
  <si>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</si>
  <si>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</si>
  <si>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</si>
  <si>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</si>
  <si>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</si>
  <si>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</si>
  <si>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</si>
  <si>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</si>
  <si>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</si>
  <si>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</si>
  <si>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</si>
  <si>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</si>
  <si>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</si>
  <si>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</si>
  <si>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</si>
  <si>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</si>
  <si>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</si>
  <si>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</si>
  <si>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</si>
  <si>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</si>
  <si>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</si>
  <si>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</si>
  <si>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</si>
  <si>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</si>
  <si>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</si>
  <si>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</si>
  <si>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</si>
  <si>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</si>
  <si>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</si>
  <si>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</si>
  <si>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</si>
  <si>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</si>
  <si>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</si>
  <si>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</si>
  <si>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</si>
  <si>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</si>
  <si>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</si>
  <si>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</si>
  <si>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</si>
  <si>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</si>
  <si>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</si>
  <si>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</si>
  <si>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</si>
  <si>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</si>
  <si>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</si>
  <si>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</si>
  <si>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</si>
  <si>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</si>
  <si>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</si>
  <si>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</si>
  <si>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</si>
  <si>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</si>
  <si>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</si>
  <si>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</si>
  <si>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</si>
  <si>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</si>
  <si>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</si>
  <si>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</si>
  <si>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</si>
  <si>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</si>
  <si>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</si>
  <si>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</si>
  <si>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</si>
  <si>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</si>
  <si>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</si>
  <si>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</si>
  <si>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</si>
  <si>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</si>
  <si>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</si>
  <si>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</si>
  <si>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</si>
  <si>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</si>
  <si>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</si>
  <si>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</si>
  <si>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</si>
  <si>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</si>
  <si>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</si>
  <si>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</si>
  <si>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</si>
  <si>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</si>
  <si>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</si>
  <si>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</si>
  <si>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</si>
  <si>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</si>
  <si>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</si>
  <si>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</si>
  <si>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</si>
  <si>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</si>
  <si>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</si>
  <si>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</si>
  <si>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</si>
  <si>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</si>
  <si>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</si>
  <si>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</si>
  <si>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</si>
  <si>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</si>
  <si>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</si>
  <si>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</si>
  <si>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</si>
  <si>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</si>
  <si>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</si>
  <si>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</si>
  <si>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</si>
  <si>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</si>
  <si>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</si>
  <si>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</si>
  <si>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</si>
  <si>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</si>
  <si>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</si>
  <si>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</si>
  <si>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</si>
  <si>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</si>
  <si>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</si>
  <si>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</si>
  <si>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</si>
  <si>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</si>
  <si>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</si>
  <si>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</si>
  <si>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</si>
  <si>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</si>
  <si>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</si>
  <si>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</si>
  <si>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</si>
  <si>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</si>
  <si>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</si>
  <si>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</si>
  <si>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</si>
  <si>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</si>
  <si>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</si>
  <si>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</si>
  <si>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</si>
  <si>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</si>
  <si>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</si>
  <si>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</si>
  <si>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</si>
  <si>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</si>
  <si>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</si>
  <si>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</si>
  <si>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</si>
  <si>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</si>
  <si>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</si>
  <si>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</si>
  <si>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</si>
  <si>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</si>
  <si>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</si>
  <si>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</si>
  <si>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</si>
  <si>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</si>
  <si>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</si>
  <si>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</si>
  <si>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</si>
  <si>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</si>
  <si>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</si>
  <si>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</si>
  <si>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</si>
  <si>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</si>
  <si>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</si>
  <si>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</si>
  <si>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</si>
  <si>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</si>
  <si>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</si>
  <si>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</si>
  <si>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</si>
  <si>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</si>
  <si>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</si>
  <si>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</si>
  <si>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</si>
  <si>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</si>
  <si>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</si>
  <si>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</si>
  <si>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</si>
  <si>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</si>
  <si>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</si>
  <si>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</si>
  <si>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</si>
  <si>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</si>
  <si>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</si>
  <si>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</si>
  <si>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</si>
  <si>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</si>
  <si>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</si>
  <si>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</si>
  <si>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</si>
  <si>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</si>
  <si>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</si>
  <si>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</si>
  <si>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</si>
  <si>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</si>
  <si>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</si>
  <si>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</si>
  <si>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</si>
  <si>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</si>
  <si>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</si>
  <si>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</si>
  <si>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</si>
  <si>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</si>
  <si>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</si>
  <si>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</si>
  <si>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</si>
  <si>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</si>
  <si>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</si>
  <si>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</si>
  <si>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</si>
  <si>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</si>
  <si>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</si>
  <si>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</si>
  <si>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</si>
  <si>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</si>
  <si>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</si>
  <si>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</si>
  <si>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</si>
  <si>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</si>
  <si>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</si>
  <si>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</si>
  <si>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</si>
  <si>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</si>
  <si>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</si>
  <si>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</si>
  <si>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</si>
  <si>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</si>
  <si>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</si>
  <si>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</si>
  <si>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</si>
  <si>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</si>
  <si>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</si>
  <si>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</si>
  <si>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</si>
  <si>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</si>
  <si>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</si>
  <si>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</si>
  <si>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</si>
  <si>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</si>
  <si>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</si>
  <si>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</si>
  <si>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</si>
  <si>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</si>
  <si>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</si>
  <si>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</si>
  <si>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</si>
  <si>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</si>
  <si>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</si>
  <si>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</si>
  <si>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</si>
  <si>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</si>
  <si>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</si>
  <si>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</si>
  <si>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</si>
  <si>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</si>
  <si>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</si>
  <si>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</si>
  <si>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</si>
  <si>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</si>
  <si>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</si>
  <si>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</si>
  <si>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</si>
  <si>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</si>
  <si>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</si>
  <si>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</si>
  <si>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</si>
  <si>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</si>
  <si>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</si>
  <si>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</si>
  <si>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</si>
  <si>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</si>
  <si>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</si>
  <si>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</si>
  <si>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</si>
  <si>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</si>
  <si>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</si>
  <si>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</si>
  <si>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</si>
  <si>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</si>
  <si>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</si>
  <si>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</si>
  <si>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</si>
  <si>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</si>
  <si>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</si>
  <si>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</si>
  <si>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</si>
  <si>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</si>
  <si>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</si>
  <si>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</si>
  <si>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</si>
  <si>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</si>
  <si>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</si>
  <si>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</si>
  <si>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</si>
  <si>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</si>
  <si>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</si>
  <si>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</si>
  <si>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</si>
  <si>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</si>
  <si>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</si>
  <si>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</si>
  <si>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</si>
  <si>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</si>
  <si>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</si>
  <si>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</si>
  <si>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</si>
  <si>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</si>
  <si>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</si>
  <si>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</si>
  <si>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</si>
  <si>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</si>
  <si>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</si>
  <si>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</si>
  <si>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</si>
  <si>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</si>
  <si>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</si>
  <si>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</si>
  <si>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</si>
  <si>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</si>
  <si>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</si>
  <si>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</si>
  <si>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</si>
  <si>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</si>
  <si>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</si>
  <si>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</si>
  <si>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</si>
  <si>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</si>
  <si>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</si>
  <si>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</si>
  <si>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</si>
  <si>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</si>
  <si>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</si>
  <si>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</si>
  <si>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</si>
  <si>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</si>
  <si>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</si>
  <si>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</si>
  <si>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</si>
  <si>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</si>
  <si>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</si>
  <si>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</si>
  <si>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</si>
  <si>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</si>
  <si>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</si>
  <si>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</si>
  <si>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</si>
  <si>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</si>
  <si>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</si>
  <si>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</si>
  <si>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</si>
  <si>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</si>
  <si>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</si>
  <si>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</si>
  <si>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</si>
  <si>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</si>
  <si>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</si>
  <si>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</si>
  <si>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</si>
  <si>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</si>
  <si>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</si>
  <si>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</si>
  <si>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</si>
  <si>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</si>
  <si>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</si>
  <si>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</si>
  <si>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</si>
  <si>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</si>
  <si>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</si>
  <si>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</si>
  <si>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</si>
  <si>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</si>
  <si>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</si>
  <si>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</si>
  <si>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</si>
  <si>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</si>
  <si>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</si>
  <si>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</si>
  <si>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</si>
  <si>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</si>
  <si>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</si>
  <si>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</si>
  <si>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</si>
  <si>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</si>
  <si>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</si>
  <si>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</si>
  <si>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</si>
  <si>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</si>
  <si>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</si>
  <si>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</si>
  <si>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</si>
  <si>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</si>
  <si>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</si>
  <si>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</si>
  <si>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</si>
  <si>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</si>
  <si>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</si>
  <si>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</si>
  <si>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</si>
  <si>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</si>
  <si>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</si>
  <si>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</si>
  <si>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</si>
  <si>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</si>
  <si>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</si>
  <si>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</si>
  <si>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</si>
  <si>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</si>
  <si>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</si>
  <si>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</si>
  <si>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</si>
  <si>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</si>
  <si>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</si>
  <si>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</si>
  <si>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</si>
  <si>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</si>
  <si>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</si>
  <si>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</si>
  <si>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</si>
  <si>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</si>
  <si>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</si>
  <si>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</si>
  <si>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</si>
  <si>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</si>
  <si>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</si>
  <si>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</si>
  <si>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</si>
  <si>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</si>
  <si>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</si>
  <si>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</si>
  <si>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</si>
  <si>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</si>
  <si>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</si>
  <si>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</si>
  <si>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</si>
  <si>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</si>
  <si>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</si>
  <si>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</si>
  <si>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</si>
  <si>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</si>
  <si>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</si>
  <si>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</si>
  <si>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</si>
  <si>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</si>
  <si>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</si>
  <si>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</si>
  <si>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</si>
  <si>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</si>
  <si>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</si>
  <si>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</si>
  <si>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</si>
  <si>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</si>
  <si>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</si>
  <si>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</si>
  <si>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</si>
  <si>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</si>
  <si>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</si>
  <si>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</si>
  <si>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</si>
  <si>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</si>
  <si>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</si>
  <si>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</si>
  <si>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</si>
  <si>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</si>
  <si>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</si>
  <si>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</si>
  <si>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</si>
  <si>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</si>
  <si>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</si>
  <si>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</si>
  <si>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</si>
  <si>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</si>
  <si>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</si>
  <si>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</si>
  <si>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</si>
  <si>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</si>
  <si>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</si>
  <si>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</si>
  <si>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</si>
  <si>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</si>
  <si>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</si>
  <si>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</si>
  <si>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</si>
  <si>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</si>
  <si>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</si>
  <si>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</si>
  <si>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</si>
  <si>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</si>
  <si>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</si>
  <si>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</si>
  <si>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</si>
  <si>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</si>
  <si>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</si>
  <si>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</si>
  <si>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</si>
  <si>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</si>
  <si>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</si>
  <si>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</si>
  <si>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[NAME OF VOTE 1]</t>
  </si>
  <si>
    <t>[Name of sub-vote]</t>
  </si>
  <si>
    <t>1.10</t>
  </si>
  <si>
    <t>[NAME OF VOTE 2]</t>
  </si>
  <si>
    <t>2.10</t>
  </si>
  <si>
    <t>[NAME OF VOTE 3]</t>
  </si>
  <si>
    <t>3.10</t>
  </si>
  <si>
    <t>[NAME OF VOTE 4]</t>
  </si>
  <si>
    <t>4.10</t>
  </si>
  <si>
    <t>[NAME OF VOTE 5]</t>
  </si>
  <si>
    <t>5.10</t>
  </si>
  <si>
    <t>[NAME OF VOTE 6]</t>
  </si>
  <si>
    <t>6.10</t>
  </si>
  <si>
    <t>[NAME OF VOTE 7]</t>
  </si>
  <si>
    <t>7.10</t>
  </si>
  <si>
    <t>[NAME OF VOTE 8]</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</si>
  <si>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</si>
  <si>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</si>
  <si>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</si>
  <si>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</si>
  <si>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</si>
  <si>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</si>
  <si>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</si>
  <si>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</si>
  <si>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</si>
  <si>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</si>
  <si>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</si>
  <si>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</si>
  <si>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</si>
  <si>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</si>
  <si>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</si>
  <si>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</si>
  <si>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</si>
  <si>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</si>
  <si>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</si>
  <si>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</si>
  <si>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</si>
  <si>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</si>
  <si>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</si>
  <si>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</si>
  <si>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</si>
  <si>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</si>
  <si>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</si>
  <si>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</si>
  <si>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</si>
  <si>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</si>
  <si>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</si>
  <si>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</si>
  <si>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</si>
  <si>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</si>
  <si>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</si>
  <si>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</si>
  <si>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</si>
  <si>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</si>
  <si>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</si>
  <si>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</si>
  <si>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</si>
  <si>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</si>
  <si>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</si>
  <si>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</si>
  <si>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</si>
  <si>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</si>
  <si>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</si>
  <si>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</si>
  <si>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</si>
  <si>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</si>
  <si>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</si>
  <si>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</si>
  <si>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</si>
  <si>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</si>
  <si>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</si>
  <si>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</si>
  <si>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</si>
  <si>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</si>
  <si>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</si>
  <si>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</si>
  <si>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</si>
  <si>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</si>
  <si>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</si>
  <si>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</si>
  <si>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</si>
  <si>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</si>
  <si>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</si>
  <si>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</si>
  <si>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</si>
  <si>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</si>
  <si>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</si>
  <si>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</si>
  <si>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</si>
  <si>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</si>
  <si>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</si>
  <si>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</si>
  <si>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</si>
  <si>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</si>
  <si>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</si>
  <si>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</si>
  <si>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</si>
  <si>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</si>
  <si>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</si>
  <si>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</si>
  <si>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</si>
  <si>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</si>
  <si>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</si>
  <si>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</si>
  <si>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</si>
  <si>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</si>
  <si>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</si>
  <si>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</si>
  <si>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</si>
  <si>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</si>
  <si>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</si>
  <si>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</si>
  <si>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</si>
  <si>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</si>
  <si>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</si>
  <si>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</si>
  <si>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</si>
  <si>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</si>
  <si>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</si>
  <si>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</si>
  <si>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</si>
  <si>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</si>
  <si>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</si>
  <si>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</si>
  <si>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</si>
  <si>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</si>
  <si>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</si>
  <si>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</si>
  <si>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</si>
  <si>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</si>
  <si>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</si>
  <si>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</si>
  <si>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</si>
  <si>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</si>
  <si>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</si>
  <si>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</si>
  <si>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</si>
  <si>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</si>
  <si>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</si>
  <si>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</si>
  <si>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</si>
  <si>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</si>
  <si>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</si>
  <si>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Ms NORAH LION</t>
  </si>
  <si>
    <t>015 307 8060</t>
  </si>
  <si>
    <t>015 307 8049</t>
  </si>
  <si>
    <t>norah.lion@tzaneen.gov.za</t>
  </si>
  <si>
    <t>Vote 1 - Municipal Manager</t>
  </si>
  <si>
    <t>Vote 2 - Planning &amp; Economic Development</t>
  </si>
  <si>
    <t>Vote 3 - Financial Services</t>
  </si>
  <si>
    <t>Vote 4 - Corporate Services</t>
  </si>
  <si>
    <t>Vote 5 - Community Services</t>
  </si>
  <si>
    <t>Vote 6 - Community Services</t>
  </si>
  <si>
    <t>Vote 7 - Electrical Engineering Services</t>
  </si>
  <si>
    <t>Vote 8 - Engineering Services</t>
  </si>
  <si>
    <t>Administration Municipal Manager</t>
  </si>
  <si>
    <t>Internal Audit</t>
  </si>
  <si>
    <t>Disaster Management</t>
  </si>
  <si>
    <t>Strategic Support</t>
  </si>
  <si>
    <t>Risk Management</t>
  </si>
  <si>
    <t>Administration Strategy &amp; Development</t>
  </si>
  <si>
    <t>Local Economic Development</t>
  </si>
  <si>
    <t>Town &amp; Regional Planning</t>
  </si>
  <si>
    <t>Housing Administration</t>
  </si>
  <si>
    <t>SATELITE OFFICE: NKOWANKOWA</t>
  </si>
  <si>
    <t>SATELITE OFFICE: LENYENYE</t>
  </si>
  <si>
    <t>SATELITE OFFICE: LETSITELE</t>
  </si>
  <si>
    <t>Administration Finance</t>
  </si>
  <si>
    <t>Budget office</t>
  </si>
  <si>
    <t>Revenue</t>
  </si>
  <si>
    <t>Expenditure</t>
  </si>
  <si>
    <t>Supply Chain Management</t>
  </si>
  <si>
    <t>Communications</t>
  </si>
  <si>
    <t>Public Participation &amp; Project Support</t>
  </si>
  <si>
    <t>Satelite Offices</t>
  </si>
  <si>
    <t>Administration HR &amp; Corporate</t>
  </si>
  <si>
    <t>Occupational Health &amp; safety</t>
  </si>
  <si>
    <t>Legal Services</t>
  </si>
  <si>
    <t>Corporate Services</t>
  </si>
  <si>
    <t>Council Expenditure</t>
  </si>
  <si>
    <t>Information Technolgy</t>
  </si>
  <si>
    <t>Parks &amp; Recreation</t>
  </si>
  <si>
    <t>Administration Community Services</t>
  </si>
  <si>
    <t>Community Health Services</t>
  </si>
  <si>
    <t>Enviromental Health Services</t>
  </si>
  <si>
    <t>Library Services</t>
  </si>
  <si>
    <t>Street Cleansing</t>
  </si>
  <si>
    <t>Traffic services</t>
  </si>
  <si>
    <t>Administration Transport,safety,Security</t>
  </si>
  <si>
    <t>Vehicle licencing</t>
  </si>
  <si>
    <t>Administration Electrical Engineering</t>
  </si>
  <si>
    <t>Operations &amp; Maintenance: Rural</t>
  </si>
  <si>
    <t>Operations &amp; Maintenance: Town</t>
  </si>
  <si>
    <t>Fleet Management</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</si>
  <si>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</si>
  <si>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</si>
  <si>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</si>
  <si>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</si>
  <si>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</si>
  <si>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</si>
  <si>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</si>
  <si>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</si>
  <si>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</si>
  <si>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</si>
  <si>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</si>
  <si>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</si>
  <si>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</si>
  <si>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</si>
  <si>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</si>
  <si>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</si>
  <si>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</si>
  <si>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</si>
  <si>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</si>
  <si>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</si>
  <si>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</si>
  <si>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</si>
  <si>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</si>
  <si>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</si>
  <si>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</si>
  <si>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</si>
  <si>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</si>
  <si>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</si>
  <si>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</si>
  <si>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</si>
  <si>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</si>
  <si>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</si>
  <si>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</si>
  <si>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</si>
  <si>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</si>
  <si>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</si>
  <si>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</si>
  <si>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</si>
  <si>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</si>
  <si>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</si>
  <si>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</si>
  <si>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</si>
  <si>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</si>
  <si>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</si>
  <si>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</si>
  <si>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</si>
  <si>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</si>
  <si>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</si>
  <si>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</si>
  <si>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</si>
  <si>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</si>
  <si>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</si>
  <si>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</si>
  <si>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</si>
  <si>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</si>
  <si>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</si>
  <si>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</si>
  <si>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</si>
  <si>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</si>
  <si>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</si>
  <si>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</si>
  <si>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Mr PP Machethe</t>
  </si>
  <si>
    <t>015 307 8025</t>
  </si>
  <si>
    <t>076 806 8553</t>
  </si>
  <si>
    <t>philly.kamela@tzaneen.gov.za</t>
  </si>
  <si>
    <t>Dikeledi J Mmetle</t>
  </si>
  <si>
    <t>015 307 8014</t>
  </si>
  <si>
    <t>083 284 4171</t>
  </si>
  <si>
    <t>mmetledj@tzaneen.gov.za</t>
  </si>
  <si>
    <t>Mr. M.E Mankabidi</t>
  </si>
  <si>
    <t>015 307 8002</t>
  </si>
  <si>
    <t>082 556 2859</t>
  </si>
  <si>
    <t>masiye.mankabidi@tzaneen.gov.za</t>
  </si>
  <si>
    <t>082 884 1098</t>
  </si>
  <si>
    <t>Mr Johan Biewenga</t>
  </si>
  <si>
    <t>015 307 8061</t>
  </si>
  <si>
    <t>082 907 5310</t>
  </si>
  <si>
    <t>Johan.Biewenga@tzaneen.gov.za</t>
  </si>
  <si>
    <t>Mr Arnold Mathebula</t>
  </si>
  <si>
    <t>015 307 8072</t>
  </si>
  <si>
    <t>072 686 5238</t>
  </si>
  <si>
    <t>arnold.mathebula@tzaneen.gov.za</t>
  </si>
  <si>
    <t>Oupa Mbungela</t>
  </si>
  <si>
    <t>072 084 3154</t>
  </si>
  <si>
    <t>oupa.mbungela@tzaneen.gov.za</t>
  </si>
  <si>
    <t>Tiny Ramatseba</t>
  </si>
  <si>
    <t>015 307 8004</t>
  </si>
  <si>
    <t>079 388 5377 / 083 244 2608</t>
  </si>
  <si>
    <t>015 307 8049 / 086 262 4875</t>
  </si>
  <si>
    <r>
      <t>Tiny Mosibudi</t>
    </r>
    <r>
      <rPr>
        <sz val="10"/>
        <color indexed="12"/>
        <rFont val="Arial"/>
        <family val="2"/>
      </rPr>
      <t>@tzaneen.gov.za</t>
    </r>
  </si>
  <si>
    <t>Mandy Arjoon</t>
  </si>
  <si>
    <t>083 538 5266</t>
  </si>
  <si>
    <t>Mandy.Arjoon@tzaneen.gov.za</t>
  </si>
  <si>
    <t>Queen Hlungwane</t>
  </si>
  <si>
    <t>015 307 8062</t>
  </si>
  <si>
    <t>073 149 1456</t>
  </si>
  <si>
    <t>queen.hlungwane@tzaneen.gov.za</t>
  </si>
  <si>
    <t xml:space="preserve"> –  </t>
  </si>
  <si>
    <t>Meter reading</t>
  </si>
  <si>
    <t>Security Services</t>
  </si>
  <si>
    <t>Refuse Removal</t>
  </si>
  <si>
    <t>Cleaning Services</t>
  </si>
  <si>
    <t>Valuation Roll</t>
  </si>
  <si>
    <t>Town planning</t>
  </si>
  <si>
    <t>Aerodrum</t>
  </si>
  <si>
    <t>Credit Control</t>
  </si>
  <si>
    <t>Council owned land</t>
  </si>
  <si>
    <t xml:space="preserve"> -   </t>
  </si>
  <si>
    <t xml:space="preserve"> - </t>
  </si>
  <si>
    <t xml:space="preserve"> 335,337 </t>
  </si>
  <si>
    <t xml:space="preserve"> 46,971 </t>
  </si>
  <si>
    <t xml:space="preserve"> 46,107 </t>
  </si>
  <si>
    <t xml:space="preserve"> 117,301 </t>
  </si>
  <si>
    <t xml:space="preserve"> 54,914 </t>
  </si>
  <si>
    <t xml:space="preserve"> 31,833 </t>
  </si>
  <si>
    <t xml:space="preserve"> 328,469 </t>
  </si>
  <si>
    <t xml:space="preserve"> 73,422 </t>
  </si>
  <si>
    <t xml:space="preserve"> 39,189 </t>
  </si>
  <si>
    <t xml:space="preserve"> 2,949 </t>
  </si>
  <si>
    <t>MIG Operation/NDPG</t>
  </si>
  <si>
    <t>INEP,NDPG &amp; EEDSMG</t>
  </si>
  <si>
    <t>SETA</t>
  </si>
  <si>
    <t>MSIG,INEP AND OTHER</t>
  </si>
  <si>
    <t>ESKOM FBS</t>
  </si>
  <si>
    <t>MUSEUM</t>
  </si>
  <si>
    <t>SPORT COUNCIL</t>
  </si>
  <si>
    <t>SPCA &amp; ARTS AND CULTURAL,BURSARY AND SPECIAL ACCOUNTS</t>
  </si>
  <si>
    <t xml:space="preserve">  -    </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</si>
  <si>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</si>
  <si>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</si>
  <si>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</si>
  <si>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</si>
  <si>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</si>
  <si>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</si>
  <si>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</si>
  <si>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</si>
  <si>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</si>
  <si>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</si>
  <si>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</si>
  <si>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</si>
  <si>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</si>
  <si>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</si>
  <si>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</si>
  <si>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</si>
  <si>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</si>
  <si>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</si>
  <si>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</si>
  <si>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</si>
  <si>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</si>
  <si>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Liberty</t>
  </si>
  <si>
    <t>Objective 1: Increased investment in the GTM economy</t>
  </si>
  <si>
    <t># of jobs created through municipal  LED initiatives and capital projects</t>
  </si>
  <si>
    <t>Number</t>
  </si>
  <si>
    <t># of Agricultural schemes supported (LED support)</t>
  </si>
  <si>
    <t># of job opportunities created through the CWP</t>
  </si>
  <si>
    <t># of cooperatives established and still functional in wards where the CWP is implemented</t>
  </si>
  <si>
    <t># of SMMEs capacitated through GTEDA (1 Per cluster)</t>
  </si>
  <si>
    <t>R value in investment in the municipality (GTEDA initiatives)</t>
  </si>
  <si>
    <t>R-value</t>
  </si>
  <si>
    <t># of work opportunities created through EPWP projects (FTE)</t>
  </si>
  <si>
    <t>Objective 2 - Create a stable and enabling environment by attracting suitable investors</t>
  </si>
  <si>
    <t># of committed investors attracted through GTEDA</t>
  </si>
  <si>
    <t>Available MVA - Town</t>
  </si>
  <si>
    <t>Available MVA - Outlaying</t>
  </si>
  <si>
    <t>MVA</t>
  </si>
  <si>
    <t>45MVA</t>
  </si>
  <si>
    <t>50MVA</t>
  </si>
  <si>
    <t>R100m</t>
  </si>
  <si>
    <t>1291 (445)</t>
  </si>
  <si>
    <t>Objective 3: Enhanced Integrated Developmental planning</t>
  </si>
  <si>
    <t># of IDP Technical committee meeting held.</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</si>
  <si>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</si>
  <si>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</si>
  <si>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</si>
  <si>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</si>
  <si>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</si>
  <si>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</si>
  <si>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</si>
  <si>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</si>
  <si>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Integrated Rural Nodal Development Plans</t>
  </si>
  <si>
    <t>% of capital spent on projects as prioritised in IDP for specific year</t>
  </si>
  <si>
    <t>Date</t>
  </si>
  <si>
    <t>Days</t>
  </si>
  <si>
    <t>Percentage</t>
  </si>
  <si>
    <t>High</t>
  </si>
  <si>
    <t>14 days</t>
  </si>
  <si>
    <t>100%</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</si>
  <si>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</si>
  <si>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</si>
  <si>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</si>
  <si>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</si>
  <si>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</si>
  <si>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</si>
  <si>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</si>
  <si>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decrease in non-compliance to building regulations</t>
  </si>
  <si>
    <t># of new cemeteries developed</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</si>
  <si>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</si>
  <si>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</si>
  <si>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</si>
  <si>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IHSSP approved by 30 June '13</t>
  </si>
  <si>
    <t>Km of roads tarred</t>
  </si>
  <si>
    <t>Km</t>
  </si>
  <si>
    <t>Traffic fine collection rate [(Rand value received for fines/ R value of fines issued as (%)]</t>
  </si>
  <si>
    <t># of planned road blocks</t>
  </si>
  <si>
    <t>R-value spent on waste management</t>
  </si>
  <si>
    <t># of service areas (rural waste) serviced (EPWP)</t>
  </si>
  <si>
    <t>Objective 6: Optimise and sustain infrastructure investment and services</t>
  </si>
  <si>
    <t>Total kwh electricity loss</t>
  </si>
  <si>
    <t>Kwh</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</si>
  <si>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</si>
  <si>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</si>
  <si>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</si>
  <si>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</si>
  <si>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</si>
  <si>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 reduction in distribution losses (water)</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</si>
  <si>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</si>
  <si>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</si>
  <si>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</si>
  <si>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</si>
  <si>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</si>
  <si>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</si>
  <si>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</si>
  <si>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</si>
  <si>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</si>
  <si>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</si>
  <si>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</si>
  <si>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xml:space="preserve">Skills Audit Report finalised by 31 Dec
</t>
  </si>
  <si>
    <t># of Local Labour Forum (LLF) meetings</t>
  </si>
  <si>
    <t xml:space="preserve"># ward committee members workshopped on municipal affairs </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</si>
  <si>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</si>
  <si>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</si>
  <si>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</si>
  <si>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</si>
  <si>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</si>
  <si>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</si>
  <si>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</si>
  <si>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Client satisfaction survey report completed by 30 June</t>
  </si>
  <si>
    <t>Client satisfaction rating</t>
  </si>
  <si>
    <t>Objective 10: Increase financial viaibility</t>
  </si>
  <si>
    <t># of Households billed</t>
  </si>
  <si>
    <t>Average % Payment rate for municipal area</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</si>
  <si>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</si>
  <si>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</si>
  <si>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</si>
  <si>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</si>
  <si>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</si>
  <si>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</si>
  <si>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</si>
  <si>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</si>
  <si>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of municipal capital budget spent on capital projects identified in the IDP</t>
  </si>
  <si>
    <t xml:space="preserve">% Capital expenditure </t>
  </si>
  <si>
    <t>% of municipal budget spent</t>
  </si>
  <si>
    <t>% creditors paid within 30 days</t>
  </si>
  <si>
    <t># of finance related policies revised annually</t>
  </si>
  <si>
    <t xml:space="preserve">Annual Asset verification report concluded by 30 June
</t>
  </si>
  <si>
    <t xml:space="preserve">Timeous submission of annual financial statements to AG and PT &amp; NT
</t>
  </si>
  <si>
    <t>% increase in R-value revenue collection</t>
  </si>
  <si>
    <t>% equitable share received</t>
  </si>
  <si>
    <t># of Tenders awarded that deviated from the adjudication committee recommendations</t>
  </si>
  <si>
    <t>% of Bids awarded within 2 weeks after adjudication committee resolution</t>
  </si>
  <si>
    <t>% of tenders recommended to MM within 60 days after closing date of tender</t>
  </si>
  <si>
    <t># of SCM reports submitted to national treasury</t>
  </si>
  <si>
    <t xml:space="preserve">% MIG funding spent </t>
  </si>
  <si>
    <t>Objective 11: Efficient and effective administration</t>
  </si>
  <si>
    <t>Audit Committee packs submitted 7 days before the meeting</t>
  </si>
  <si>
    <t># of performance reports audited</t>
  </si>
  <si>
    <t>Draft Annual report considered  by Council within legislative time frames</t>
  </si>
  <si>
    <t>Annual report approved by council within legislative `timeframes</t>
  </si>
  <si>
    <t># of quarterly SDBIP reports submitted to Council</t>
  </si>
  <si>
    <t># of outcome 9 quarterly  report submitted to COGSTA within legislative timeframes</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</si>
  <si>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</si>
  <si>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</si>
  <si>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</si>
  <si>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Advertisement for comments of the approved draft performance report</t>
  </si>
  <si>
    <t># of Council meetings held</t>
  </si>
  <si>
    <t># of Exco meetings held</t>
  </si>
  <si>
    <t># of Cluster meetings held</t>
  </si>
  <si>
    <t>% SLAs signed within 10 days of receiving acceptance</t>
  </si>
  <si>
    <t>% of SLA's concluded within 5 days after information provided</t>
  </si>
  <si>
    <t># of monthly contract management reports submitted</t>
  </si>
  <si>
    <t xml:space="preserve"># Management meetings
</t>
  </si>
  <si>
    <t># of risks identified</t>
  </si>
  <si>
    <t>3 year Strategic Risk based plan submitted to Audit Committee by 30 June</t>
  </si>
  <si>
    <t># of quarterly internal audit reports submitted to audit committee</t>
  </si>
  <si>
    <t># of Audit committee packs submitted 7 days before meeting</t>
  </si>
  <si>
    <t>Annual Audit Plan approved by Audit Committee by 30 June</t>
  </si>
  <si>
    <t>Internal Audit Charter submitted to Audit Committee by 30 June</t>
  </si>
  <si>
    <t>Revised 3 year strategic plan (Internal Audit) approved by Audit Committee</t>
  </si>
  <si>
    <t># of audit queries from AG</t>
  </si>
  <si>
    <t>Audit opinion</t>
  </si>
  <si>
    <t>Opinion</t>
  </si>
  <si>
    <t># audit committee meetings held</t>
  </si>
  <si>
    <t>Objective 12: Attract and retain best human capital to become employer or choice</t>
  </si>
  <si>
    <t># of budgeted level 0 - 6 positions filled</t>
  </si>
  <si>
    <t xml:space="preserve">% staff turnover </t>
  </si>
  <si>
    <t># of people from employment equity target groups employed in the 3 highest levels of management in compliance with EE plan</t>
  </si>
  <si>
    <t># of OHS committee meetings</t>
  </si>
  <si>
    <t xml:space="preserve">Number of Section 57 posts vacant for more than three months </t>
  </si>
  <si>
    <t xml:space="preserve"># of people from employment equity target groups employed in the three highest levels of management </t>
  </si>
  <si>
    <t>% Employees that are female</t>
  </si>
  <si>
    <t>% Employees that are youth</t>
  </si>
  <si>
    <t>% Employees that are disabled</t>
  </si>
  <si>
    <t># of critical posts filled (MM, CFO, Engineer, Town Planner, Communications, CORP)</t>
  </si>
  <si>
    <r>
      <t>% of households earning less that R1100 served with</t>
    </r>
    <r>
      <rPr>
        <i/>
        <u/>
        <sz val="8"/>
        <color rgb="FF000000"/>
        <rFont val="Arial Narrow"/>
        <family val="2"/>
      </rPr>
      <t xml:space="preserve"> free basic</t>
    </r>
    <r>
      <rPr>
        <i/>
        <sz val="8"/>
        <color rgb="FF000000"/>
        <rFont val="Arial Narrow"/>
        <family val="2"/>
      </rPr>
      <t xml:space="preserve"> electricity (registerd as indigents)</t>
    </r>
  </si>
  <si>
    <r>
      <t>Annual Audit Plan approved by audit committee by the 30</t>
    </r>
    <r>
      <rPr>
        <vertAlign val="superscript"/>
        <sz val="9"/>
        <color theme="1"/>
        <rFont val="Arial Narrow"/>
        <family val="2"/>
      </rPr>
      <t>th</t>
    </r>
    <r>
      <rPr>
        <sz val="9"/>
        <color theme="1"/>
        <rFont val="Arial Narrow"/>
        <family val="2"/>
      </rPr>
      <t xml:space="preserve"> June     </t>
    </r>
  </si>
  <si>
    <r>
      <t>Three Year Strategic Risk based Plan submitted to the Audit Committee by the 30</t>
    </r>
    <r>
      <rPr>
        <vertAlign val="superscript"/>
        <sz val="9"/>
        <color theme="1"/>
        <rFont val="Arial Narrow"/>
        <family val="2"/>
      </rPr>
      <t>th</t>
    </r>
    <r>
      <rPr>
        <sz val="9"/>
        <color theme="1"/>
        <rFont val="Arial Narrow"/>
        <family val="2"/>
      </rPr>
      <t xml:space="preserve"> June</t>
    </r>
  </si>
  <si>
    <r>
      <t>Reviewed internal Audit charter submitted to the Audit Committee by the 30</t>
    </r>
    <r>
      <rPr>
        <vertAlign val="superscript"/>
        <sz val="9"/>
        <color theme="1"/>
        <rFont val="Arial Narrow"/>
        <family val="2"/>
      </rPr>
      <t>th</t>
    </r>
    <r>
      <rPr>
        <sz val="9"/>
        <color theme="1"/>
        <rFont val="Arial Narrow"/>
        <family val="2"/>
      </rPr>
      <t xml:space="preserve"> June</t>
    </r>
  </si>
  <si>
    <t>94% (102377 of 108926)</t>
  </si>
  <si>
    <t>100% (20000)</t>
  </si>
  <si>
    <t>target awaited</t>
  </si>
  <si>
    <t>Clean Audit</t>
  </si>
  <si>
    <t>Rose  Letsoalo</t>
  </si>
  <si>
    <t xml:space="preserve"> 015 307 8025/8080</t>
  </si>
  <si>
    <t xml:space="preserve"> rose.letsoalo@tzaneen.gov.za</t>
  </si>
  <si>
    <t>0833311541</t>
  </si>
  <si>
    <t>0867596489</t>
  </si>
  <si>
    <t>26 FEBRUARY 2014</t>
  </si>
  <si>
    <t>N.A.</t>
  </si>
  <si>
    <t>Motupa Low level bridge</t>
  </si>
  <si>
    <t>Thako to Sefolwe Low level bridge</t>
  </si>
  <si>
    <t>Mopye  Low level bridge</t>
  </si>
  <si>
    <t>Politsi Low level bridge</t>
  </si>
  <si>
    <t>Lenyenye Cemetery road</t>
  </si>
  <si>
    <t>Purchase of land</t>
  </si>
  <si>
    <t>MIG Counter funding</t>
  </si>
  <si>
    <t>Ramotshinyadi Road</t>
  </si>
  <si>
    <t>Claude Wheately Road</t>
  </si>
  <si>
    <t>Split meters</t>
  </si>
  <si>
    <t>Water Tankers</t>
  </si>
  <si>
    <t>Engineering Services</t>
  </si>
  <si>
    <t>Planning and Economic Development</t>
  </si>
  <si>
    <t>Rikhotso, Khwekhwe, Mokonyane and Mawa Block 12 low level bridges</t>
  </si>
  <si>
    <t>Purchase office furniture and Equipments for the MM's department</t>
  </si>
  <si>
    <t>Purchase of electrical equipments</t>
  </si>
  <si>
    <t>Partitioning of Tourism Centre</t>
  </si>
  <si>
    <t>Purchase office furniture and Equipments for the PED department</t>
  </si>
  <si>
    <t>PED- 94</t>
  </si>
  <si>
    <t>PED- 118</t>
  </si>
  <si>
    <t>PED- 188</t>
  </si>
  <si>
    <t>MM- 186</t>
  </si>
  <si>
    <t>Financial services</t>
  </si>
  <si>
    <t>Computers and IT Equipments</t>
  </si>
  <si>
    <t>Purchase office furniture and Equipments for the CFO's office</t>
  </si>
  <si>
    <t>CFO- 184</t>
  </si>
  <si>
    <t>CFO- 187</t>
  </si>
  <si>
    <t>Purchase office furniture, equipments and books for the Corporate Services department</t>
  </si>
  <si>
    <t>Purchase and Installation of Air conditioners for the Corporate Services  department</t>
  </si>
  <si>
    <t>community services</t>
  </si>
  <si>
    <t>Purchase two chain saws</t>
  </si>
  <si>
    <t>Provision of parking at Waste Management offices</t>
  </si>
  <si>
    <t>Expansion of storage facility  at Nkowankowa Testing Station and shelves</t>
  </si>
  <si>
    <t>Convert H.C.R.W. storeroom into office/conference room in Tzaneen</t>
  </si>
  <si>
    <t>Upgrading and extension of trade license office</t>
  </si>
  <si>
    <t>Hawkers esplanades in Tzaneen</t>
  </si>
  <si>
    <t>Purchase office furniture and Library equipments for the Community</t>
  </si>
  <si>
    <t>Purchase office furniture for nkowankowa and lenyenye community, julesburg and burgesdorp sport facilities</t>
  </si>
  <si>
    <t>CS-  41</t>
  </si>
  <si>
    <t>CS- 100</t>
  </si>
  <si>
    <t>CS-115</t>
  </si>
  <si>
    <t>CS- 116</t>
  </si>
  <si>
    <t>CS- 117</t>
  </si>
  <si>
    <t>CS- 171</t>
  </si>
  <si>
    <t>CS- 191</t>
  </si>
  <si>
    <t>CS- 194</t>
  </si>
  <si>
    <t>CORP- 190</t>
  </si>
  <si>
    <t>CORP- 195</t>
  </si>
  <si>
    <t>Engineering services</t>
  </si>
  <si>
    <t>Refurbishment of Agatha street in Tzaneen</t>
  </si>
  <si>
    <t>Refurbishment Sapekoe drive   Phase 1 in Tzaneen</t>
  </si>
  <si>
    <t>Refurbishment of Khayalami street in Nkowankowa  Phase 1</t>
  </si>
  <si>
    <t>Refurbishment of Bankuna street in Nkowankowa  Phase 2</t>
  </si>
  <si>
    <t>ES- 26</t>
  </si>
  <si>
    <t>ES- 27</t>
  </si>
  <si>
    <t>ES- 28</t>
  </si>
  <si>
    <t>ES- 29</t>
  </si>
  <si>
    <t>Electrical engineering</t>
  </si>
  <si>
    <t>Electricity capacity building - Avis old SAR to Power station</t>
  </si>
  <si>
    <t>EE- 126</t>
  </si>
  <si>
    <t>Renewal R and M on pre paid meters</t>
  </si>
  <si>
    <t>EE- 130</t>
  </si>
  <si>
    <t>Apollo lights at Nyagelani (Radoo) village</t>
  </si>
  <si>
    <t>Apollo lights at Tickyline village</t>
  </si>
  <si>
    <t>Apollo lights at Moruji</t>
  </si>
  <si>
    <t>EE- 70</t>
  </si>
  <si>
    <t>EE- 71</t>
  </si>
  <si>
    <t>EE- 72</t>
  </si>
  <si>
    <t>Planning &amp; Economic development</t>
  </si>
  <si>
    <t>NDPG PROJECTS</t>
  </si>
  <si>
    <t>Energy efficiency and demand</t>
  </si>
  <si>
    <t>EE- 124</t>
  </si>
  <si>
    <t>Municipal Infrastructure Grant</t>
  </si>
  <si>
    <t>Purchase survey equipments</t>
  </si>
  <si>
    <t>Purchase generators</t>
  </si>
  <si>
    <t xml:space="preserve">Purchase welding machines </t>
  </si>
  <si>
    <t>Purchase diesel bowser</t>
  </si>
  <si>
    <t>ES - 37</t>
  </si>
  <si>
    <t>ES-  38</t>
  </si>
  <si>
    <t>ES-  39</t>
  </si>
  <si>
    <t>ES-  40</t>
  </si>
  <si>
    <t>Installation of New Automatic reclosers</t>
  </si>
  <si>
    <t>EE- 131</t>
  </si>
  <si>
    <t>Replacements of small tools</t>
  </si>
  <si>
    <t>Purchase office furniture and equipments for the Electrical Engineering Department</t>
  </si>
  <si>
    <t>Rent Premises</t>
  </si>
  <si>
    <t>Purchase Of office Furniture</t>
  </si>
  <si>
    <t>GTEDA</t>
  </si>
</sst>
</file>

<file path=xl/styles.xml><?xml version="1.0" encoding="utf-8"?>
<styleSheet xmlns="http://schemas.openxmlformats.org/spreadsheetml/2006/main">
  <numFmts count="17">
    <numFmt numFmtId="6" formatCode="&quot;R&quot;\ #,##0;[Red]&quot;R&quot;\ \-#,##0"/>
    <numFmt numFmtId="44" formatCode="_ &quot;R&quot;\ * #,##0.00_ ;_ &quot;R&quot;\ * \-#,##0.00_ ;_ &quot;R&quot;\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409]d\-mmm\-yy;@"/>
    <numFmt numFmtId="175" formatCode="_ &quot;R&quot;\ * #,##0_ ;_ &quot;R&quot;\ * \-#,##0_ ;_ &quot;R&quot;\ * &quot;-&quot;??_ ;_ @_ "/>
    <numFmt numFmtId="176" formatCode="[$-F800]dddd\,\ mmmm\ dd\,\ yyyy"/>
    <numFmt numFmtId="177" formatCode="[$-1C09]dd\ mmmm\ yyyy;@"/>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Utah"/>
    </font>
    <font>
      <u/>
      <sz val="10"/>
      <color theme="10"/>
      <name val="Arial"/>
      <family val="2"/>
    </font>
    <font>
      <sz val="10"/>
      <name val="MS Sans Serif"/>
      <family val="2"/>
    </font>
    <font>
      <sz val="10"/>
      <color indexed="12"/>
      <name val="Arial"/>
      <family val="2"/>
    </font>
    <font>
      <sz val="8"/>
      <color theme="1"/>
      <name val="Arial Narrow"/>
      <family val="2"/>
    </font>
    <font>
      <sz val="9"/>
      <color theme="1"/>
      <name val="Arial Narrow"/>
      <family val="2"/>
    </font>
    <font>
      <i/>
      <u/>
      <sz val="8"/>
      <color rgb="FF000000"/>
      <name val="Arial Narrow"/>
      <family val="2"/>
    </font>
    <font>
      <i/>
      <sz val="8"/>
      <color rgb="FF000000"/>
      <name val="Arial Narrow"/>
      <family val="2"/>
    </font>
    <font>
      <sz val="9"/>
      <color rgb="FF000000"/>
      <name val="Arial Narrow"/>
      <family val="2"/>
    </font>
    <font>
      <vertAlign val="superscript"/>
      <sz val="9"/>
      <color theme="1"/>
      <name val="Arial Narrow"/>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C00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s>
  <cellStyleXfs count="42180">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164" fontId="15" fillId="0" borderId="0" applyFont="0" applyFill="0" applyBorder="0" applyAlignment="0" applyProtection="0"/>
    <xf numFmtId="43" fontId="1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alignment vertical="top"/>
      <protection locked="0"/>
    </xf>
    <xf numFmtId="0" fontId="65" fillId="0" borderId="0" applyNumberFormat="0" applyFont="0" applyFill="0" applyBorder="0" applyAlignment="0" applyProtection="0">
      <alignment vertical="top"/>
      <protection locked="0"/>
    </xf>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5" fillId="23" borderId="7" applyNumberFormat="0" applyFont="0" applyAlignment="0" applyProtection="0"/>
    <xf numFmtId="0" fontId="50" fillId="20" borderId="8" applyNumberFormat="0" applyAlignment="0" applyProtection="0"/>
    <xf numFmtId="9" fontId="15" fillId="0" borderId="0" applyFont="0" applyFill="0" applyBorder="0" applyAlignment="0" applyProtection="0"/>
    <xf numFmtId="9" fontId="66"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37" fillId="8"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7" fillId="9" borderId="0" applyNumberFormat="0" applyBorder="0" applyAlignment="0" applyProtection="0"/>
    <xf numFmtId="9" fontId="55" fillId="0" borderId="0" applyFont="0" applyFill="0" applyBorder="0" applyAlignment="0" applyProtection="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38" fillId="17"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8" fillId="1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38" fillId="9" borderId="0" applyNumberFormat="0" applyBorder="0" applyAlignment="0" applyProtection="0"/>
    <xf numFmtId="0" fontId="38" fillId="13"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38" fillId="15"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37" fillId="4" borderId="0" applyNumberFormat="0" applyBorder="0" applyAlignment="0" applyProtection="0"/>
    <xf numFmtId="0" fontId="55" fillId="0" borderId="0"/>
    <xf numFmtId="0" fontId="55" fillId="0" borderId="0"/>
    <xf numFmtId="0" fontId="37" fillId="7" borderId="0" applyNumberFormat="0" applyBorder="0" applyAlignment="0" applyProtection="0"/>
    <xf numFmtId="0" fontId="38" fillId="19" borderId="0" applyNumberFormat="0" applyBorder="0" applyAlignment="0" applyProtection="0"/>
    <xf numFmtId="0" fontId="55" fillId="0" borderId="0"/>
    <xf numFmtId="0" fontId="55" fillId="0" borderId="0"/>
    <xf numFmtId="0" fontId="38" fillId="12" borderId="0" applyNumberFormat="0" applyBorder="0" applyAlignment="0" applyProtection="0"/>
    <xf numFmtId="0" fontId="53" fillId="0" borderId="0" applyNumberFormat="0" applyFill="0" applyBorder="0" applyAlignment="0" applyProtection="0"/>
    <xf numFmtId="0" fontId="55" fillId="0" borderId="0"/>
    <xf numFmtId="0" fontId="55" fillId="0" borderId="0"/>
    <xf numFmtId="0" fontId="38" fillId="10" borderId="0" applyNumberFormat="0" applyBorder="0" applyAlignment="0" applyProtection="0"/>
    <xf numFmtId="0" fontId="39" fillId="3" borderId="0" applyNumberFormat="0" applyBorder="0" applyAlignment="0" applyProtection="0"/>
    <xf numFmtId="0" fontId="55" fillId="0" borderId="0"/>
    <xf numFmtId="0" fontId="55" fillId="0" borderId="0"/>
    <xf numFmtId="0" fontId="55" fillId="0" borderId="0"/>
    <xf numFmtId="0" fontId="52" fillId="0" borderId="9" applyNumberFormat="0" applyFill="0" applyAlignment="0" applyProtection="0"/>
    <xf numFmtId="0" fontId="55" fillId="0" borderId="0"/>
    <xf numFmtId="0" fontId="38" fillId="14"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55" fillId="0" borderId="0"/>
    <xf numFmtId="0" fontId="37" fillId="6"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9" fontId="5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39" fillId="3" borderId="0" applyNumberFormat="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37" fillId="7"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37" fillId="7" borderId="0" applyNumberFormat="0" applyBorder="0" applyAlignment="0" applyProtection="0"/>
    <xf numFmtId="0" fontId="43" fillId="4" borderId="0" applyNumberFormat="0" applyBorder="0" applyAlignment="0" applyProtection="0"/>
    <xf numFmtId="0" fontId="41" fillId="21" borderId="2" applyNumberFormat="0" applyAlignment="0" applyProtection="0"/>
    <xf numFmtId="0" fontId="55" fillId="0" borderId="0"/>
    <xf numFmtId="0" fontId="37" fillId="11" borderId="0" applyNumberFormat="0" applyBorder="0" applyAlignment="0" applyProtection="0"/>
    <xf numFmtId="0" fontId="50" fillId="20" borderId="8" applyNumberFormat="0" applyAlignment="0" applyProtection="0"/>
    <xf numFmtId="0" fontId="52" fillId="0" borderId="9"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45" fillId="0" borderId="4" applyNumberFormat="0" applyFill="0" applyAlignment="0" applyProtection="0"/>
    <xf numFmtId="0" fontId="37" fillId="6"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3" borderId="0" applyNumberFormat="0" applyBorder="0" applyAlignment="0" applyProtection="0"/>
    <xf numFmtId="0" fontId="37" fillId="9" borderId="0" applyNumberFormat="0" applyBorder="0" applyAlignment="0" applyProtection="0"/>
    <xf numFmtId="0" fontId="38" fillId="14"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55" fillId="0" borderId="0"/>
    <xf numFmtId="0" fontId="37" fillId="8"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3"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7" fillId="10"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9" fillId="22" borderId="0" applyNumberFormat="0" applyBorder="0" applyAlignment="0" applyProtection="0"/>
    <xf numFmtId="0" fontId="55" fillId="23" borderId="7" applyNumberFormat="0" applyFont="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8" fillId="0" borderId="6" applyNumberFormat="0" applyFill="0" applyAlignment="0" applyProtection="0"/>
    <xf numFmtId="0" fontId="37" fillId="4"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0" fontId="44" fillId="0" borderId="3" applyNumberFormat="0" applyFill="0" applyAlignment="0" applyProtection="0"/>
    <xf numFmtId="0" fontId="37" fillId="6"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0" fillId="20" borderId="8" applyNumberFormat="0" applyAlignment="0" applyProtection="0"/>
    <xf numFmtId="0" fontId="46" fillId="0" borderId="0" applyNumberFormat="0" applyFill="0" applyBorder="0" applyAlignment="0" applyProtection="0"/>
    <xf numFmtId="0" fontId="55" fillId="0" borderId="0"/>
    <xf numFmtId="0" fontId="39" fillId="3"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9" fontId="55" fillId="0" borderId="0" applyFont="0" applyFill="0" applyBorder="0" applyAlignment="0" applyProtection="0"/>
    <xf numFmtId="0" fontId="38" fillId="14" borderId="0" applyNumberFormat="0" applyBorder="0" applyAlignment="0" applyProtection="0"/>
    <xf numFmtId="0" fontId="50" fillId="20" borderId="8" applyNumberFormat="0" applyAlignment="0" applyProtection="0"/>
    <xf numFmtId="0" fontId="47" fillId="7" borderId="1" applyNumberFormat="0" applyAlignment="0" applyProtection="0"/>
    <xf numFmtId="0" fontId="55" fillId="23" borderId="7" applyNumberFormat="0" applyFont="0" applyAlignment="0" applyProtection="0"/>
    <xf numFmtId="0" fontId="37" fillId="7"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2" fillId="0" borderId="9" applyNumberFormat="0" applyFill="0" applyAlignment="0" applyProtection="0"/>
    <xf numFmtId="0" fontId="37" fillId="10" borderId="0" applyNumberFormat="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0" fillId="20" borderId="8" applyNumberFormat="0" applyAlignment="0" applyProtection="0"/>
    <xf numFmtId="0" fontId="39" fillId="3"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49" fillId="22" borderId="0" applyNumberFormat="0" applyBorder="0" applyAlignment="0" applyProtection="0"/>
    <xf numFmtId="0" fontId="55" fillId="23" borderId="7" applyNumberFormat="0" applyFont="0" applyAlignment="0" applyProtection="0"/>
    <xf numFmtId="0" fontId="48" fillId="0" borderId="6" applyNumberFormat="0" applyFill="0" applyAlignment="0" applyProtection="0"/>
    <xf numFmtId="0" fontId="37" fillId="2" borderId="0" applyNumberFormat="0" applyBorder="0" applyAlignment="0" applyProtection="0"/>
    <xf numFmtId="0" fontId="47" fillId="7" borderId="1" applyNumberFormat="0" applyAlignment="0" applyProtection="0"/>
    <xf numFmtId="0" fontId="37" fillId="3" borderId="0" applyNumberFormat="0" applyBorder="0" applyAlignment="0" applyProtection="0"/>
    <xf numFmtId="9" fontId="55" fillId="0" borderId="0" applyFont="0" applyFill="0" applyBorder="0" applyAlignment="0" applyProtection="0"/>
    <xf numFmtId="0" fontId="39" fillId="3" borderId="0" applyNumberFormat="0" applyBorder="0" applyAlignment="0" applyProtection="0"/>
    <xf numFmtId="0" fontId="52" fillId="0" borderId="9" applyNumberFormat="0" applyFill="0" applyAlignment="0" applyProtection="0"/>
    <xf numFmtId="0" fontId="46"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53" fillId="0" borderId="0" applyNumberFormat="0" applyFill="0" applyBorder="0" applyAlignment="0" applyProtection="0"/>
    <xf numFmtId="0" fontId="44" fillId="0" borderId="3" applyNumberFormat="0" applyFill="0" applyAlignment="0" applyProtection="0"/>
    <xf numFmtId="0" fontId="43" fillId="4" borderId="0" applyNumberFormat="0" applyBorder="0" applyAlignment="0" applyProtection="0"/>
    <xf numFmtId="0" fontId="48" fillId="0" borderId="6" applyNumberFormat="0" applyFill="0" applyAlignment="0" applyProtection="0"/>
    <xf numFmtId="0" fontId="42" fillId="0" borderId="0" applyNumberFormat="0" applyFill="0" applyBorder="0" applyAlignment="0" applyProtection="0"/>
    <xf numFmtId="0" fontId="37" fillId="7"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41" fillId="21" borderId="2" applyNumberFormat="0" applyAlignment="0" applyProtection="0"/>
    <xf numFmtId="0" fontId="40" fillId="20" borderId="1" applyNumberFormat="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39" fillId="3" borderId="0" applyNumberFormat="0" applyBorder="0" applyAlignment="0" applyProtection="0"/>
    <xf numFmtId="0" fontId="38" fillId="19" borderId="0" applyNumberFormat="0" applyBorder="0" applyAlignment="0" applyProtection="0"/>
    <xf numFmtId="0" fontId="55" fillId="23" borderId="7" applyNumberFormat="0" applyFont="0" applyAlignment="0" applyProtection="0"/>
    <xf numFmtId="0" fontId="38" fillId="14"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37" fillId="10"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55" fillId="0" borderId="0"/>
    <xf numFmtId="0" fontId="38" fillId="10"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55" fillId="23" borderId="7" applyNumberFormat="0" applyFont="0" applyAlignment="0" applyProtection="0"/>
    <xf numFmtId="0" fontId="37" fillId="11" borderId="0" applyNumberFormat="0" applyBorder="0" applyAlignment="0" applyProtection="0"/>
    <xf numFmtId="0" fontId="37" fillId="5" borderId="0" applyNumberFormat="0" applyBorder="0" applyAlignment="0" applyProtection="0"/>
    <xf numFmtId="0" fontId="40" fillId="20" borderId="1" applyNumberFormat="0" applyAlignment="0" applyProtection="0"/>
    <xf numFmtId="0" fontId="37" fillId="10"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9" fillId="22"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38" fillId="14"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39" fillId="3" borderId="0" applyNumberFormat="0" applyBorder="0" applyAlignment="0" applyProtection="0"/>
    <xf numFmtId="0" fontId="55" fillId="23" borderId="7" applyNumberFormat="0" applyFont="0" applyAlignment="0" applyProtection="0"/>
    <xf numFmtId="0" fontId="37" fillId="10"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39" fillId="3" borderId="0" applyNumberFormat="0" applyBorder="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7" fillId="7" borderId="0" applyNumberFormat="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7" fillId="7" borderId="0" applyNumberFormat="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9" fontId="55" fillId="0" borderId="0" applyFont="0" applyFill="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55" fillId="0" borderId="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44" fillId="0" borderId="3" applyNumberFormat="0" applyFill="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38" fillId="9" borderId="0" applyNumberFormat="0" applyBorder="0" applyAlignment="0" applyProtection="0"/>
    <xf numFmtId="0" fontId="55" fillId="0" borderId="0"/>
    <xf numFmtId="0" fontId="55" fillId="0" borderId="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9" fontId="55" fillId="0" borderId="0" applyFont="0" applyFill="0" applyBorder="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7" borderId="0" applyNumberFormat="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37" fillId="6"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37" fillId="11" borderId="0" applyNumberFormat="0" applyBorder="0" applyAlignment="0" applyProtection="0"/>
    <xf numFmtId="0" fontId="50" fillId="20" borderId="8" applyNumberFormat="0" applyAlignment="0" applyProtection="0"/>
    <xf numFmtId="0" fontId="37" fillId="10"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4" borderId="0" applyNumberFormat="0" applyBorder="0" applyAlignment="0" applyProtection="0"/>
    <xf numFmtId="0" fontId="45" fillId="0" borderId="4" applyNumberFormat="0" applyFill="0" applyAlignment="0" applyProtection="0"/>
    <xf numFmtId="0" fontId="37" fillId="5"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9" fontId="55" fillId="0" borderId="0" applyFont="0" applyFill="0" applyBorder="0" applyAlignment="0" applyProtection="0"/>
    <xf numFmtId="0" fontId="49" fillId="22" borderId="0" applyNumberFormat="0" applyBorder="0" applyAlignment="0" applyProtection="0"/>
    <xf numFmtId="0" fontId="40" fillId="20" borderId="1" applyNumberFormat="0" applyAlignment="0" applyProtection="0"/>
    <xf numFmtId="0" fontId="37" fillId="9" borderId="0" applyNumberFormat="0" applyBorder="0" applyAlignment="0" applyProtection="0"/>
    <xf numFmtId="0" fontId="38" fillId="14" borderId="0" applyNumberFormat="0" applyBorder="0" applyAlignment="0" applyProtection="0"/>
    <xf numFmtId="0" fontId="37" fillId="10"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55" fillId="23" borderId="7" applyNumberFormat="0" applyFont="0" applyAlignment="0" applyProtection="0"/>
    <xf numFmtId="0" fontId="37" fillId="8"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8" fillId="0" borderId="6" applyNumberFormat="0" applyFill="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0" fontId="44" fillId="0" borderId="3" applyNumberFormat="0" applyFill="0" applyAlignment="0" applyProtection="0"/>
    <xf numFmtId="0" fontId="37" fillId="5"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50" fillId="20" borderId="8" applyNumberFormat="0" applyAlignment="0" applyProtection="0"/>
    <xf numFmtId="0" fontId="46" fillId="0" borderId="0" applyNumberFormat="0" applyFill="0" applyBorder="0" applyAlignment="0" applyProtection="0"/>
    <xf numFmtId="0" fontId="39" fillId="3"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9" fontId="55" fillId="0" borderId="0" applyFont="0" applyFill="0" applyBorder="0" applyAlignment="0" applyProtection="0"/>
    <xf numFmtId="0" fontId="37" fillId="2" borderId="0" applyNumberFormat="0" applyBorder="0" applyAlignment="0" applyProtection="0"/>
    <xf numFmtId="0" fontId="50" fillId="20" borderId="8" applyNumberFormat="0" applyAlignment="0" applyProtection="0"/>
    <xf numFmtId="0" fontId="47" fillId="7" borderId="1" applyNumberFormat="0" applyAlignment="0" applyProtection="0"/>
    <xf numFmtId="0" fontId="55" fillId="23" borderId="7" applyNumberFormat="0" applyFont="0" applyAlignment="0" applyProtection="0"/>
    <xf numFmtId="0" fontId="37" fillId="6"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2" fillId="0" borderId="9" applyNumberFormat="0" applyFill="0" applyAlignment="0" applyProtection="0"/>
    <xf numFmtId="0" fontId="52" fillId="0" borderId="9" applyNumberFormat="0" applyFill="0" applyAlignment="0" applyProtection="0"/>
    <xf numFmtId="9" fontId="55" fillId="0" borderId="0" applyFont="0" applyFill="0" applyBorder="0" applyAlignment="0" applyProtection="0"/>
    <xf numFmtId="0" fontId="37" fillId="10" borderId="0" applyNumberFormat="0" applyBorder="0" applyAlignment="0" applyProtection="0"/>
    <xf numFmtId="0" fontId="50" fillId="20" borderId="8" applyNumberFormat="0" applyAlignment="0" applyProtection="0"/>
    <xf numFmtId="0" fontId="55" fillId="23" borderId="7" applyNumberFormat="0" applyFont="0" applyAlignment="0" applyProtection="0"/>
    <xf numFmtId="0" fontId="37" fillId="7"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47" fillId="7" borderId="1" applyNumberFormat="0" applyAlignment="0" applyProtection="0"/>
    <xf numFmtId="0" fontId="38" fillId="14" borderId="0" applyNumberFormat="0" applyBorder="0" applyAlignment="0" applyProtection="0"/>
    <xf numFmtId="9" fontId="55" fillId="0" borderId="0" applyFont="0" applyFill="0" applyBorder="0" applyAlignment="0" applyProtection="0"/>
    <xf numFmtId="0" fontId="37" fillId="7" borderId="0" applyNumberFormat="0" applyBorder="0" applyAlignment="0" applyProtection="0"/>
    <xf numFmtId="9" fontId="55" fillId="0" borderId="0" applyFont="0" applyFill="0" applyBorder="0" applyAlignment="0" applyProtection="0"/>
    <xf numFmtId="0" fontId="46"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53" fillId="0" borderId="0" applyNumberFormat="0" applyFill="0" applyBorder="0" applyAlignment="0" applyProtection="0"/>
    <xf numFmtId="0" fontId="44" fillId="0" borderId="3" applyNumberFormat="0" applyFill="0" applyAlignment="0" applyProtection="0"/>
    <xf numFmtId="0" fontId="43" fillId="4" borderId="0" applyNumberFormat="0" applyBorder="0" applyAlignment="0" applyProtection="0"/>
    <xf numFmtId="0" fontId="48" fillId="0" borderId="6" applyNumberFormat="0" applyFill="0" applyAlignment="0" applyProtection="0"/>
    <xf numFmtId="0" fontId="42"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41" fillId="21" borderId="2" applyNumberFormat="0" applyAlignment="0" applyProtection="0"/>
    <xf numFmtId="0" fontId="40" fillId="20" borderId="1" applyNumberFormat="0" applyAlignment="0" applyProtection="0"/>
    <xf numFmtId="0" fontId="55" fillId="0" borderId="0"/>
    <xf numFmtId="0" fontId="39" fillId="3" borderId="0" applyNumberFormat="0" applyBorder="0" applyAlignment="0" applyProtection="0"/>
    <xf numFmtId="0" fontId="49" fillId="22"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9" fontId="55" fillId="0" borderId="0" applyFont="0" applyFill="0" applyBorder="0" applyAlignment="0" applyProtection="0"/>
    <xf numFmtId="0" fontId="38" fillId="17"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3" borderId="0" applyNumberFormat="0" applyBorder="0" applyAlignment="0" applyProtection="0"/>
    <xf numFmtId="0" fontId="37" fillId="3" borderId="0" applyNumberFormat="0" applyBorder="0" applyAlignment="0" applyProtection="0"/>
    <xf numFmtId="0" fontId="55" fillId="0" borderId="0"/>
    <xf numFmtId="0" fontId="38" fillId="10"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8" fillId="12" borderId="0" applyNumberFormat="0" applyBorder="0" applyAlignment="0" applyProtection="0"/>
    <xf numFmtId="0" fontId="55" fillId="23" borderId="7" applyNumberFormat="0" applyFont="0" applyAlignment="0" applyProtection="0"/>
    <xf numFmtId="0" fontId="37" fillId="11"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37" fillId="7" borderId="0" applyNumberFormat="0" applyBorder="0" applyAlignment="0" applyProtection="0"/>
    <xf numFmtId="0" fontId="37" fillId="10"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9" fontId="55" fillId="0" borderId="0" applyFon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9" fontId="55" fillId="0" borderId="0" applyFont="0" applyFill="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55" fillId="0" borderId="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14" fillId="0" borderId="0"/>
    <xf numFmtId="0" fontId="14" fillId="0" borderId="0"/>
    <xf numFmtId="0" fontId="37" fillId="3" borderId="0" applyNumberFormat="0" applyBorder="0" applyAlignment="0" applyProtection="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0" fontId="55" fillId="0" borderId="0"/>
    <xf numFmtId="174" fontId="14" fillId="0" borderId="0"/>
    <xf numFmtId="0" fontId="14" fillId="0" borderId="0"/>
    <xf numFmtId="0" fontId="79" fillId="0" borderId="0"/>
    <xf numFmtId="0" fontId="55" fillId="0" borderId="0"/>
    <xf numFmtId="174" fontId="14"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174" fontId="14" fillId="0" borderId="0"/>
    <xf numFmtId="0" fontId="37" fillId="7" borderId="0" applyNumberFormat="0" applyBorder="0" applyAlignment="0" applyProtection="0"/>
    <xf numFmtId="0" fontId="41" fillId="21" borderId="2" applyNumberFormat="0" applyAlignment="0" applyProtection="0"/>
    <xf numFmtId="0" fontId="55" fillId="0" borderId="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55" fillId="0" borderId="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8" fillId="16" borderId="0" applyNumberFormat="0" applyBorder="0" applyAlignment="0" applyProtection="0"/>
    <xf numFmtId="0" fontId="55" fillId="0" borderId="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9" fontId="55" fillId="0" borderId="0" applyFont="0" applyFill="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9" fontId="55" fillId="0" borderId="0" applyFont="0" applyFill="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55" fillId="0" borderId="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55" fillId="0" borderId="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55" fillId="0" borderId="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45" fillId="0" borderId="4" applyNumberFormat="0" applyFill="0" applyAlignment="0" applyProtection="0"/>
    <xf numFmtId="0" fontId="55" fillId="0" borderId="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9" fontId="55" fillId="0" borderId="0" applyFont="0" applyFill="0" applyBorder="0" applyAlignment="0" applyProtection="0"/>
    <xf numFmtId="0" fontId="40" fillId="20" borderId="1" applyNumberFormat="0" applyAlignment="0" applyProtection="0"/>
    <xf numFmtId="9" fontId="55" fillId="0" borderId="0" applyFont="0" applyFill="0" applyBorder="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55" fillId="0" borderId="0"/>
    <xf numFmtId="0" fontId="38" fillId="19" borderId="0" applyNumberFormat="0" applyBorder="0" applyAlignment="0" applyProtection="0"/>
    <xf numFmtId="0" fontId="37" fillId="8"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14" fillId="0" borderId="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5" fillId="0" borderId="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9" fontId="55" fillId="0" borderId="0" applyFon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44" fillId="0" borderId="3" applyNumberFormat="0" applyFill="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14" fillId="0" borderId="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79" fillId="0" borderId="0"/>
    <xf numFmtId="0" fontId="38" fillId="17" borderId="0" applyNumberFormat="0" applyBorder="0" applyAlignment="0" applyProtection="0"/>
    <xf numFmtId="0" fontId="55" fillId="0" borderId="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8" fillId="9" borderId="0" applyNumberFormat="0" applyBorder="0" applyAlignment="0" applyProtection="0"/>
    <xf numFmtId="0" fontId="55" fillId="23" borderId="7" applyNumberFormat="0" applyFont="0" applyAlignment="0" applyProtection="0"/>
    <xf numFmtId="0" fontId="55" fillId="0" borderId="0"/>
    <xf numFmtId="0" fontId="44" fillId="0" borderId="3" applyNumberFormat="0" applyFill="0" applyAlignment="0" applyProtection="0"/>
    <xf numFmtId="0" fontId="51" fillId="0" borderId="0" applyNumberFormat="0" applyFill="0" applyBorder="0" applyAlignment="0" applyProtection="0"/>
    <xf numFmtId="0" fontId="45" fillId="0" borderId="4" applyNumberFormat="0" applyFill="0" applyAlignment="0" applyProtection="0"/>
    <xf numFmtId="0" fontId="79" fillId="0" borderId="0"/>
    <xf numFmtId="0" fontId="38" fillId="13" borderId="0" applyNumberFormat="0" applyBorder="0" applyAlignment="0" applyProtection="0"/>
    <xf numFmtId="0" fontId="14" fillId="0" borderId="0"/>
    <xf numFmtId="0" fontId="14" fillId="0" borderId="0"/>
    <xf numFmtId="0" fontId="14" fillId="0" borderId="0"/>
    <xf numFmtId="0" fontId="79" fillId="0" borderId="0"/>
    <xf numFmtId="0" fontId="79" fillId="0" borderId="0"/>
    <xf numFmtId="0" fontId="14" fillId="0" borderId="0"/>
    <xf numFmtId="0" fontId="14" fillId="0" borderId="0"/>
    <xf numFmtId="0" fontId="55" fillId="0" borderId="0"/>
    <xf numFmtId="0" fontId="50" fillId="20" borderId="8" applyNumberFormat="0" applyAlignment="0" applyProtection="0"/>
    <xf numFmtId="0" fontId="37" fillId="6" borderId="0" applyNumberFormat="0" applyBorder="0" applyAlignment="0" applyProtection="0"/>
    <xf numFmtId="0" fontId="55" fillId="0" borderId="0"/>
    <xf numFmtId="0" fontId="41" fillId="21" borderId="2" applyNumberFormat="0" applyAlignment="0" applyProtection="0"/>
    <xf numFmtId="0" fontId="38" fillId="13" borderId="0" applyNumberFormat="0" applyBorder="0" applyAlignment="0" applyProtection="0"/>
    <xf numFmtId="0" fontId="39" fillId="3"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7" fillId="2"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50" fillId="20" borderId="8" applyNumberFormat="0" applyAlignment="0" applyProtection="0"/>
    <xf numFmtId="0" fontId="38" fillId="10"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8" fillId="17" borderId="0" applyNumberFormat="0" applyBorder="0" applyAlignment="0" applyProtection="0"/>
    <xf numFmtId="0" fontId="51" fillId="0" borderId="0" applyNumberFormat="0" applyFill="0" applyBorder="0" applyAlignment="0" applyProtection="0"/>
    <xf numFmtId="0" fontId="55" fillId="0" borderId="0"/>
    <xf numFmtId="0" fontId="37" fillId="5" borderId="0" applyNumberFormat="0" applyBorder="0" applyAlignment="0" applyProtection="0"/>
    <xf numFmtId="0" fontId="46" fillId="0" borderId="5" applyNumberFormat="0" applyFill="0" applyAlignment="0" applyProtection="0"/>
    <xf numFmtId="0" fontId="37" fillId="7" borderId="0" applyNumberFormat="0" applyBorder="0" applyAlignment="0" applyProtection="0"/>
    <xf numFmtId="0" fontId="53" fillId="0" borderId="0" applyNumberFormat="0" applyFill="0" applyBorder="0" applyAlignment="0" applyProtection="0"/>
    <xf numFmtId="0" fontId="40" fillId="20" borderId="1" applyNumberFormat="0" applyAlignment="0" applyProtection="0"/>
    <xf numFmtId="0" fontId="37" fillId="5" borderId="0" applyNumberFormat="0" applyBorder="0" applyAlignment="0" applyProtection="0"/>
    <xf numFmtId="0" fontId="39" fillId="3" borderId="0" applyNumberFormat="0" applyBorder="0" applyAlignment="0" applyProtection="0"/>
    <xf numFmtId="0" fontId="38" fillId="18"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8" fillId="15"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2" borderId="0" applyNumberFormat="0" applyBorder="0" applyAlignment="0" applyProtection="0"/>
    <xf numFmtId="0" fontId="47" fillId="7" borderId="1" applyNumberFormat="0" applyAlignment="0" applyProtection="0"/>
    <xf numFmtId="0" fontId="55" fillId="0" borderId="0"/>
    <xf numFmtId="0" fontId="37" fillId="9" borderId="0" applyNumberFormat="0" applyBorder="0" applyAlignment="0" applyProtection="0"/>
    <xf numFmtId="0" fontId="38" fillId="18" borderId="0" applyNumberFormat="0" applyBorder="0" applyAlignment="0" applyProtection="0"/>
    <xf numFmtId="0" fontId="38" fillId="16" borderId="0" applyNumberFormat="0" applyBorder="0" applyAlignment="0" applyProtection="0"/>
    <xf numFmtId="0" fontId="37" fillId="3" borderId="0" applyNumberFormat="0" applyBorder="0" applyAlignment="0" applyProtection="0"/>
    <xf numFmtId="0" fontId="55" fillId="0" borderId="0"/>
    <xf numFmtId="0" fontId="44" fillId="0" borderId="3"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2" fillId="0" borderId="0" applyNumberFormat="0" applyFill="0" applyBorder="0" applyAlignment="0" applyProtection="0"/>
    <xf numFmtId="0" fontId="38" fillId="18" borderId="0" applyNumberFormat="0" applyBorder="0" applyAlignment="0" applyProtection="0"/>
    <xf numFmtId="0" fontId="39" fillId="3"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0"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46" fillId="0" borderId="0" applyNumberFormat="0" applyFill="0" applyBorder="0" applyAlignment="0" applyProtection="0"/>
    <xf numFmtId="0" fontId="38" fillId="14" borderId="0" applyNumberFormat="0" applyBorder="0" applyAlignment="0" applyProtection="0"/>
    <xf numFmtId="0" fontId="50" fillId="20" borderId="8"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8" fillId="12" borderId="0" applyNumberFormat="0" applyBorder="0" applyAlignment="0" applyProtection="0"/>
    <xf numFmtId="0" fontId="38" fillId="17"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55" fillId="0" borderId="0"/>
    <xf numFmtId="0" fontId="43" fillId="4" borderId="0" applyNumberFormat="0" applyBorder="0" applyAlignment="0" applyProtection="0"/>
    <xf numFmtId="0" fontId="37" fillId="8"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51" fillId="0" borderId="0" applyNumberFormat="0" applyFill="0" applyBorder="0" applyAlignment="0" applyProtection="0"/>
    <xf numFmtId="0" fontId="38" fillId="18" borderId="0" applyNumberFormat="0" applyBorder="0" applyAlignment="0" applyProtection="0"/>
    <xf numFmtId="0" fontId="37" fillId="4" borderId="0" applyNumberFormat="0" applyBorder="0" applyAlignment="0" applyProtection="0"/>
    <xf numFmtId="0" fontId="39" fillId="3" borderId="0" applyNumberFormat="0" applyBorder="0" applyAlignment="0" applyProtection="0"/>
    <xf numFmtId="0" fontId="51" fillId="0" borderId="0" applyNumberFormat="0" applyFill="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8" fillId="19"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55" fillId="0" borderId="0"/>
    <xf numFmtId="0" fontId="38" fillId="16"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8" fillId="14" borderId="0" applyNumberFormat="0" applyBorder="0" applyAlignment="0" applyProtection="0"/>
    <xf numFmtId="0" fontId="38" fillId="18"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39" fillId="3"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7" fillId="8" borderId="0" applyNumberFormat="0" applyBorder="0" applyAlignment="0" applyProtection="0"/>
    <xf numFmtId="0" fontId="53" fillId="0" borderId="0" applyNumberFormat="0" applyFill="0" applyBorder="0" applyAlignment="0" applyProtection="0"/>
    <xf numFmtId="0" fontId="46" fillId="0" borderId="0" applyNumberFormat="0" applyFill="0" applyBorder="0" applyAlignment="0" applyProtection="0"/>
    <xf numFmtId="0" fontId="52" fillId="0" borderId="9" applyNumberFormat="0" applyFill="0" applyAlignment="0" applyProtection="0"/>
    <xf numFmtId="0" fontId="38" fillId="10" borderId="0" applyNumberFormat="0" applyBorder="0" applyAlignment="0" applyProtection="0"/>
    <xf numFmtId="43" fontId="55" fillId="0" borderId="0" applyFont="0" applyFill="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51" fillId="0" borderId="0" applyNumberFormat="0" applyFill="0" applyBorder="0" applyAlignment="0" applyProtection="0"/>
    <xf numFmtId="0" fontId="37" fillId="6" borderId="0" applyNumberFormat="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37" fillId="4" borderId="0" applyNumberFormat="0" applyBorder="0" applyAlignment="0" applyProtection="0"/>
    <xf numFmtId="0" fontId="39" fillId="3" borderId="0" applyNumberFormat="0" applyBorder="0" applyAlignment="0" applyProtection="0"/>
    <xf numFmtId="0" fontId="38" fillId="15" borderId="0" applyNumberFormat="0" applyBorder="0" applyAlignment="0" applyProtection="0"/>
    <xf numFmtId="0" fontId="37" fillId="3"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55" fillId="0" borderId="0"/>
    <xf numFmtId="0" fontId="38" fillId="10" borderId="0" applyNumberFormat="0" applyBorder="0" applyAlignment="0" applyProtection="0"/>
    <xf numFmtId="0" fontId="37" fillId="10" borderId="0" applyNumberFormat="0" applyBorder="0" applyAlignment="0" applyProtection="0"/>
    <xf numFmtId="0" fontId="43" fillId="4" borderId="0" applyNumberFormat="0" applyBorder="0" applyAlignment="0" applyProtection="0"/>
    <xf numFmtId="0" fontId="45" fillId="0" borderId="4" applyNumberFormat="0" applyFill="0" applyAlignment="0" applyProtection="0"/>
    <xf numFmtId="0" fontId="38" fillId="17"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8" fillId="10" borderId="0" applyNumberFormat="0" applyBorder="0" applyAlignment="0" applyProtection="0"/>
    <xf numFmtId="0" fontId="44" fillId="0" borderId="3" applyNumberFormat="0" applyFill="0" applyAlignment="0" applyProtection="0"/>
    <xf numFmtId="0" fontId="38" fillId="13" borderId="0" applyNumberFormat="0" applyBorder="0" applyAlignment="0" applyProtection="0"/>
    <xf numFmtId="0" fontId="37" fillId="3"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50" fillId="20" borderId="8" applyNumberFormat="0" applyAlignment="0" applyProtection="0"/>
    <xf numFmtId="0" fontId="55" fillId="0" borderId="0"/>
    <xf numFmtId="0" fontId="52" fillId="0" borderId="9" applyNumberFormat="0" applyFill="0" applyAlignment="0" applyProtection="0"/>
    <xf numFmtId="0" fontId="37" fillId="3"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9" borderId="0" applyNumberFormat="0" applyBorder="0" applyAlignment="0" applyProtection="0"/>
    <xf numFmtId="0" fontId="40" fillId="20" borderId="1" applyNumberFormat="0" applyAlignment="0" applyProtection="0"/>
    <xf numFmtId="0" fontId="44" fillId="0" borderId="3" applyNumberFormat="0" applyFill="0" applyAlignment="0" applyProtection="0"/>
    <xf numFmtId="9" fontId="55" fillId="0" borderId="0" applyFont="0" applyFill="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55" fillId="0" borderId="0"/>
    <xf numFmtId="0" fontId="55" fillId="0" borderId="0"/>
    <xf numFmtId="0" fontId="37" fillId="6" borderId="0" applyNumberFormat="0" applyBorder="0" applyAlignment="0" applyProtection="0"/>
    <xf numFmtId="0" fontId="37" fillId="11" borderId="0" applyNumberFormat="0" applyBorder="0" applyAlignment="0" applyProtection="0"/>
    <xf numFmtId="0" fontId="38" fillId="9" borderId="0" applyNumberFormat="0" applyBorder="0" applyAlignment="0" applyProtection="0"/>
    <xf numFmtId="0" fontId="52" fillId="0" borderId="9" applyNumberFormat="0" applyFill="0" applyAlignment="0" applyProtection="0"/>
    <xf numFmtId="0" fontId="38" fillId="19" borderId="0" applyNumberFormat="0" applyBorder="0" applyAlignment="0" applyProtection="0"/>
    <xf numFmtId="0" fontId="37" fillId="6" borderId="0" applyNumberFormat="0" applyBorder="0" applyAlignment="0" applyProtection="0"/>
    <xf numFmtId="0" fontId="37" fillId="4" borderId="0" applyNumberFormat="0" applyBorder="0" applyAlignment="0" applyProtection="0"/>
    <xf numFmtId="0" fontId="55" fillId="0" borderId="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41" fillId="21" borderId="2" applyNumberFormat="0" applyAlignment="0" applyProtection="0"/>
    <xf numFmtId="0" fontId="38" fillId="17" borderId="0" applyNumberFormat="0" applyBorder="0" applyAlignment="0" applyProtection="0"/>
    <xf numFmtId="0" fontId="37" fillId="11" borderId="0" applyNumberFormat="0" applyBorder="0" applyAlignment="0" applyProtection="0"/>
    <xf numFmtId="0" fontId="47" fillId="7" borderId="1" applyNumberFormat="0" applyAlignment="0" applyProtection="0"/>
    <xf numFmtId="0" fontId="52" fillId="0" borderId="9" applyNumberFormat="0" applyFill="0" applyAlignment="0" applyProtection="0"/>
    <xf numFmtId="0" fontId="53" fillId="0" borderId="0" applyNumberFormat="0" applyFill="0" applyBorder="0" applyAlignment="0" applyProtection="0"/>
    <xf numFmtId="0" fontId="50" fillId="20" borderId="8" applyNumberFormat="0" applyAlignment="0" applyProtection="0"/>
    <xf numFmtId="0" fontId="38" fillId="16"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49" fillId="22"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45" fillId="0" borderId="4" applyNumberFormat="0" applyFill="0" applyAlignment="0" applyProtection="0"/>
    <xf numFmtId="0" fontId="37" fillId="3" borderId="0" applyNumberFormat="0" applyBorder="0" applyAlignment="0" applyProtection="0"/>
    <xf numFmtId="0" fontId="38" fillId="16"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43" fontId="55" fillId="0" borderId="0" applyFont="0" applyFill="0" applyBorder="0" applyAlignment="0" applyProtection="0"/>
    <xf numFmtId="0" fontId="55" fillId="0" borderId="0"/>
    <xf numFmtId="0" fontId="37" fillId="2" borderId="0" applyNumberFormat="0" applyBorder="0" applyAlignment="0" applyProtection="0"/>
    <xf numFmtId="0" fontId="45" fillId="0" borderId="4" applyNumberFormat="0" applyFill="0" applyAlignment="0" applyProtection="0"/>
    <xf numFmtId="0" fontId="38" fillId="9" borderId="0" applyNumberFormat="0" applyBorder="0" applyAlignment="0" applyProtection="0"/>
    <xf numFmtId="0" fontId="37" fillId="8"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37" fillId="4" borderId="0" applyNumberFormat="0" applyBorder="0" applyAlignment="0" applyProtection="0"/>
    <xf numFmtId="0" fontId="37" fillId="11"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45" fillId="0" borderId="4" applyNumberFormat="0" applyFill="0" applyAlignment="0" applyProtection="0"/>
    <xf numFmtId="0" fontId="49" fillId="22" borderId="0" applyNumberFormat="0" applyBorder="0" applyAlignment="0" applyProtection="0"/>
    <xf numFmtId="0" fontId="38" fillId="16" borderId="0" applyNumberFormat="0" applyBorder="0" applyAlignment="0" applyProtection="0"/>
    <xf numFmtId="0" fontId="38" fillId="10" borderId="0" applyNumberFormat="0" applyBorder="0" applyAlignment="0" applyProtection="0"/>
    <xf numFmtId="0" fontId="37" fillId="11" borderId="0" applyNumberFormat="0" applyBorder="0" applyAlignment="0" applyProtection="0"/>
    <xf numFmtId="0" fontId="38" fillId="13" borderId="0" applyNumberFormat="0" applyBorder="0" applyAlignment="0" applyProtection="0"/>
    <xf numFmtId="0" fontId="55" fillId="23" borderId="7" applyNumberFormat="0" applyFont="0" applyAlignment="0" applyProtection="0"/>
    <xf numFmtId="0" fontId="37" fillId="8" borderId="0" applyNumberFormat="0" applyBorder="0" applyAlignment="0" applyProtection="0"/>
    <xf numFmtId="0" fontId="40" fillId="20" borderId="1" applyNumberFormat="0" applyAlignment="0" applyProtection="0"/>
    <xf numFmtId="0" fontId="46" fillId="0" borderId="0" applyNumberFormat="0" applyFill="0" applyBorder="0" applyAlignment="0" applyProtection="0"/>
    <xf numFmtId="0" fontId="37" fillId="11" borderId="0" applyNumberFormat="0" applyBorder="0" applyAlignment="0" applyProtection="0"/>
    <xf numFmtId="0" fontId="43" fillId="4"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55" fillId="23" borderId="7" applyNumberFormat="0" applyFont="0" applyAlignment="0" applyProtection="0"/>
    <xf numFmtId="0" fontId="37" fillId="3" borderId="0" applyNumberFormat="0" applyBorder="0" applyAlignment="0" applyProtection="0"/>
    <xf numFmtId="0" fontId="41" fillId="21" borderId="2" applyNumberFormat="0" applyAlignment="0" applyProtection="0"/>
    <xf numFmtId="0" fontId="53" fillId="0" borderId="0" applyNumberFormat="0" applyFill="0" applyBorder="0" applyAlignment="0" applyProtection="0"/>
    <xf numFmtId="0" fontId="38" fillId="12"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46" fillId="0" borderId="0" applyNumberFormat="0" applyFill="0" applyBorder="0" applyAlignment="0" applyProtection="0"/>
    <xf numFmtId="0" fontId="40" fillId="20" borderId="1" applyNumberFormat="0" applyAlignment="0" applyProtection="0"/>
    <xf numFmtId="0" fontId="38" fillId="13"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53" fillId="0" borderId="0" applyNumberFormat="0" applyFill="0" applyBorder="0" applyAlignment="0" applyProtection="0"/>
    <xf numFmtId="0" fontId="38" fillId="9" borderId="0" applyNumberFormat="0" applyBorder="0" applyAlignment="0" applyProtection="0"/>
    <xf numFmtId="0" fontId="38" fillId="18" borderId="0" applyNumberFormat="0" applyBorder="0" applyAlignment="0" applyProtection="0"/>
    <xf numFmtId="0" fontId="37" fillId="6"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50" fillId="20" borderId="8" applyNumberFormat="0" applyAlignment="0" applyProtection="0"/>
    <xf numFmtId="0" fontId="38" fillId="16"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52" fillId="0" borderId="9" applyNumberFormat="0" applyFill="0" applyAlignment="0" applyProtection="0"/>
    <xf numFmtId="0" fontId="38" fillId="16" borderId="0" applyNumberFormat="0" applyBorder="0" applyAlignment="0" applyProtection="0"/>
    <xf numFmtId="0" fontId="37" fillId="7" borderId="0" applyNumberFormat="0" applyBorder="0" applyAlignment="0" applyProtection="0"/>
    <xf numFmtId="0" fontId="38" fillId="15" borderId="0" applyNumberFormat="0" applyBorder="0" applyAlignment="0" applyProtection="0"/>
    <xf numFmtId="0" fontId="37" fillId="2"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7" fillId="7" borderId="1" applyNumberFormat="0" applyAlignment="0" applyProtection="0"/>
    <xf numFmtId="0" fontId="38" fillId="9" borderId="0" applyNumberFormat="0" applyBorder="0" applyAlignment="0" applyProtection="0"/>
    <xf numFmtId="0" fontId="42" fillId="0" borderId="0" applyNumberFormat="0" applyFill="0" applyBorder="0" applyAlignment="0" applyProtection="0"/>
    <xf numFmtId="0" fontId="47" fillId="7" borderId="1" applyNumberFormat="0" applyAlignment="0" applyProtection="0"/>
    <xf numFmtId="0" fontId="40" fillId="20" borderId="1" applyNumberFormat="0" applyAlignment="0" applyProtection="0"/>
    <xf numFmtId="43" fontId="55" fillId="0" borderId="0" applyFont="0" applyFill="0" applyBorder="0" applyAlignment="0" applyProtection="0"/>
    <xf numFmtId="0" fontId="38" fillId="16" borderId="0" applyNumberFormat="0" applyBorder="0" applyAlignment="0" applyProtection="0"/>
    <xf numFmtId="0" fontId="47" fillId="7" borderId="1" applyNumberFormat="0" applyAlignment="0" applyProtection="0"/>
    <xf numFmtId="0" fontId="40" fillId="20" borderId="1" applyNumberFormat="0" applyAlignment="0" applyProtection="0"/>
    <xf numFmtId="0" fontId="52" fillId="0" borderId="9" applyNumberFormat="0" applyFill="0" applyAlignment="0" applyProtection="0"/>
    <xf numFmtId="0" fontId="55" fillId="0" borderId="0"/>
    <xf numFmtId="0" fontId="47" fillId="7" borderId="1" applyNumberFormat="0" applyAlignment="0" applyProtection="0"/>
    <xf numFmtId="0" fontId="46" fillId="0" borderId="0" applyNumberFormat="0" applyFill="0" applyBorder="0" applyAlignment="0" applyProtection="0"/>
    <xf numFmtId="0" fontId="37" fillId="4"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9" fontId="55" fillId="0" borderId="0" applyFon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11" borderId="0" applyNumberFormat="0" applyBorder="0" applyAlignment="0" applyProtection="0"/>
    <xf numFmtId="0" fontId="38" fillId="19" borderId="0" applyNumberFormat="0" applyBorder="0" applyAlignment="0" applyProtection="0"/>
    <xf numFmtId="0" fontId="38" fillId="10"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46" fillId="0" borderId="5" applyNumberFormat="0" applyFill="0" applyAlignment="0" applyProtection="0"/>
    <xf numFmtId="0" fontId="37" fillId="7" borderId="0" applyNumberFormat="0" applyBorder="0" applyAlignment="0" applyProtection="0"/>
    <xf numFmtId="0" fontId="38" fillId="17" borderId="0" applyNumberFormat="0" applyBorder="0" applyAlignment="0" applyProtection="0"/>
    <xf numFmtId="0" fontId="43" fillId="4" borderId="0" applyNumberFormat="0" applyBorder="0" applyAlignment="0" applyProtection="0"/>
    <xf numFmtId="43" fontId="55" fillId="0" borderId="0" applyFont="0" applyFill="0" applyBorder="0" applyAlignment="0" applyProtection="0"/>
    <xf numFmtId="0" fontId="38" fillId="17" borderId="0" applyNumberFormat="0" applyBorder="0" applyAlignment="0" applyProtection="0"/>
    <xf numFmtId="0" fontId="38" fillId="12"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2"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50" fillId="20" borderId="8" applyNumberFormat="0" applyAlignment="0" applyProtection="0"/>
    <xf numFmtId="0" fontId="48" fillId="0" borderId="6" applyNumberFormat="0" applyFill="0" applyAlignment="0" applyProtection="0"/>
    <xf numFmtId="0" fontId="39" fillId="3" borderId="0" applyNumberFormat="0" applyBorder="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37" fillId="9" borderId="0" applyNumberFormat="0" applyBorder="0" applyAlignment="0" applyProtection="0"/>
    <xf numFmtId="0" fontId="55" fillId="0" borderId="0"/>
    <xf numFmtId="0" fontId="38" fillId="13"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43" fillId="4" borderId="0" applyNumberFormat="0" applyBorder="0" applyAlignment="0" applyProtection="0"/>
    <xf numFmtId="0" fontId="41" fillId="21" borderId="2" applyNumberFormat="0" applyAlignment="0" applyProtection="0"/>
    <xf numFmtId="0" fontId="14" fillId="0" borderId="0"/>
    <xf numFmtId="0" fontId="38" fillId="18"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7" fillId="11"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38" fillId="9" borderId="0" applyNumberFormat="0" applyBorder="0" applyAlignment="0" applyProtection="0"/>
    <xf numFmtId="0" fontId="50" fillId="20" borderId="8" applyNumberFormat="0" applyAlignment="0" applyProtection="0"/>
    <xf numFmtId="0" fontId="38" fillId="13" borderId="0" applyNumberFormat="0" applyBorder="0" applyAlignment="0" applyProtection="0"/>
    <xf numFmtId="0" fontId="44" fillId="0" borderId="3" applyNumberFormat="0" applyFill="0" applyAlignment="0" applyProtection="0"/>
    <xf numFmtId="0" fontId="37" fillId="2" borderId="0" applyNumberFormat="0" applyBorder="0" applyAlignment="0" applyProtection="0"/>
    <xf numFmtId="0" fontId="38" fillId="19" borderId="0" applyNumberFormat="0" applyBorder="0" applyAlignment="0" applyProtection="0"/>
    <xf numFmtId="0" fontId="44" fillId="0" borderId="3" applyNumberFormat="0" applyFill="0" applyAlignment="0" applyProtection="0"/>
    <xf numFmtId="0" fontId="40" fillId="20" borderId="1" applyNumberFormat="0" applyAlignment="0" applyProtection="0"/>
    <xf numFmtId="0" fontId="39" fillId="3" borderId="0" applyNumberFormat="0" applyBorder="0" applyAlignment="0" applyProtection="0"/>
    <xf numFmtId="0" fontId="46" fillId="0" borderId="5" applyNumberFormat="0" applyFill="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43" fillId="4" borderId="0" applyNumberFormat="0" applyBorder="0" applyAlignment="0" applyProtection="0"/>
    <xf numFmtId="0" fontId="45" fillId="0" borderId="4" applyNumberFormat="0" applyFill="0" applyAlignment="0" applyProtection="0"/>
    <xf numFmtId="0" fontId="37" fillId="2" borderId="0" applyNumberFormat="0" applyBorder="0" applyAlignment="0" applyProtection="0"/>
    <xf numFmtId="0" fontId="38" fillId="15"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49" fillId="22" borderId="0" applyNumberFormat="0" applyBorder="0" applyAlignment="0" applyProtection="0"/>
    <xf numFmtId="0" fontId="45" fillId="0" borderId="4" applyNumberFormat="0" applyFill="0" applyAlignment="0" applyProtection="0"/>
    <xf numFmtId="0" fontId="38" fillId="16" borderId="0" applyNumberFormat="0" applyBorder="0" applyAlignment="0" applyProtection="0"/>
    <xf numFmtId="0" fontId="41" fillId="21" borderId="2" applyNumberFormat="0" applyAlignment="0" applyProtection="0"/>
    <xf numFmtId="0" fontId="38" fillId="9" borderId="0" applyNumberFormat="0" applyBorder="0" applyAlignment="0" applyProtection="0"/>
    <xf numFmtId="0" fontId="37" fillId="10" borderId="0" applyNumberFormat="0" applyBorder="0" applyAlignment="0" applyProtection="0"/>
    <xf numFmtId="0" fontId="48" fillId="0" borderId="6" applyNumberFormat="0" applyFill="0" applyAlignment="0" applyProtection="0"/>
    <xf numFmtId="0" fontId="38" fillId="17" borderId="0" applyNumberFormat="0" applyBorder="0" applyAlignment="0" applyProtection="0"/>
    <xf numFmtId="0" fontId="38" fillId="19" borderId="0" applyNumberFormat="0" applyBorder="0" applyAlignment="0" applyProtection="0"/>
    <xf numFmtId="0" fontId="38" fillId="10" borderId="0" applyNumberFormat="0" applyBorder="0" applyAlignment="0" applyProtection="0"/>
    <xf numFmtId="0" fontId="37" fillId="3" borderId="0" applyNumberFormat="0" applyBorder="0" applyAlignment="0" applyProtection="0"/>
    <xf numFmtId="0" fontId="46" fillId="0" borderId="5" applyNumberFormat="0" applyFill="0" applyAlignment="0" applyProtection="0"/>
    <xf numFmtId="0" fontId="38" fillId="12"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6"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3" borderId="0" applyNumberFormat="0" applyBorder="0" applyAlignment="0" applyProtection="0"/>
    <xf numFmtId="0" fontId="39" fillId="3"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55" fillId="0" borderId="0"/>
    <xf numFmtId="0" fontId="55" fillId="23" borderId="7" applyNumberFormat="0" applyFont="0" applyAlignment="0" applyProtection="0"/>
    <xf numFmtId="0" fontId="38" fillId="13" borderId="0" applyNumberFormat="0" applyBorder="0" applyAlignment="0" applyProtection="0"/>
    <xf numFmtId="0" fontId="55" fillId="0" borderId="0"/>
    <xf numFmtId="0" fontId="37" fillId="8"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52" fillId="0" borderId="9" applyNumberFormat="0" applyFill="0" applyAlignment="0" applyProtection="0"/>
    <xf numFmtId="0" fontId="38" fillId="15" borderId="0" applyNumberFormat="0" applyBorder="0" applyAlignment="0" applyProtection="0"/>
    <xf numFmtId="0" fontId="38" fillId="17" borderId="0" applyNumberFormat="0" applyBorder="0" applyAlignment="0" applyProtection="0"/>
    <xf numFmtId="0" fontId="37" fillId="10" borderId="0" applyNumberFormat="0" applyBorder="0" applyAlignment="0" applyProtection="0"/>
    <xf numFmtId="0" fontId="45" fillId="0" borderId="4" applyNumberFormat="0" applyFill="0" applyAlignment="0" applyProtection="0"/>
    <xf numFmtId="0" fontId="40" fillId="20" borderId="1" applyNumberFormat="0" applyAlignment="0" applyProtection="0"/>
    <xf numFmtId="0" fontId="38" fillId="12" borderId="0" applyNumberFormat="0" applyBorder="0" applyAlignment="0" applyProtection="0"/>
    <xf numFmtId="0" fontId="38" fillId="13"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42" fillId="0" borderId="0" applyNumberFormat="0" applyFill="0" applyBorder="0" applyAlignment="0" applyProtection="0"/>
    <xf numFmtId="0" fontId="49" fillId="22" borderId="0" applyNumberFormat="0" applyBorder="0" applyAlignment="0" applyProtection="0"/>
    <xf numFmtId="0" fontId="42" fillId="0" borderId="0" applyNumberFormat="0" applyFill="0" applyBorder="0" applyAlignment="0" applyProtection="0"/>
    <xf numFmtId="0" fontId="46" fillId="0" borderId="5" applyNumberFormat="0" applyFill="0" applyAlignment="0" applyProtection="0"/>
    <xf numFmtId="0" fontId="39" fillId="3" borderId="0" applyNumberFormat="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50" fillId="20" borderId="8" applyNumberFormat="0" applyAlignment="0" applyProtection="0"/>
    <xf numFmtId="0" fontId="38" fillId="19"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55" fillId="0" borderId="0"/>
    <xf numFmtId="0" fontId="46" fillId="0" borderId="0" applyNumberFormat="0" applyFill="0" applyBorder="0" applyAlignment="0" applyProtection="0"/>
    <xf numFmtId="0" fontId="38" fillId="19"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48" fillId="0" borderId="6" applyNumberFormat="0" applyFill="0" applyAlignment="0" applyProtection="0"/>
    <xf numFmtId="0" fontId="38" fillId="14"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43" fillId="4" borderId="0" applyNumberFormat="0" applyBorder="0" applyAlignment="0" applyProtection="0"/>
    <xf numFmtId="0" fontId="38" fillId="10" borderId="0" applyNumberFormat="0" applyBorder="0" applyAlignment="0" applyProtection="0"/>
    <xf numFmtId="0" fontId="38" fillId="18" borderId="0" applyNumberFormat="0" applyBorder="0" applyAlignment="0" applyProtection="0"/>
    <xf numFmtId="0" fontId="41" fillId="21" borderId="2" applyNumberFormat="0" applyAlignment="0" applyProtection="0"/>
    <xf numFmtId="0" fontId="38" fillId="12" borderId="0" applyNumberFormat="0" applyBorder="0" applyAlignment="0" applyProtection="0"/>
    <xf numFmtId="0" fontId="41" fillId="21" borderId="2" applyNumberFormat="0" applyAlignment="0" applyProtection="0"/>
    <xf numFmtId="0" fontId="44" fillId="0" borderId="3" applyNumberFormat="0" applyFill="0" applyAlignment="0" applyProtection="0"/>
    <xf numFmtId="0" fontId="37" fillId="8"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7" borderId="0" applyNumberFormat="0" applyBorder="0" applyAlignment="0" applyProtection="0"/>
    <xf numFmtId="0" fontId="52" fillId="0" borderId="9" applyNumberFormat="0" applyFill="0" applyAlignment="0" applyProtection="0"/>
    <xf numFmtId="0" fontId="37" fillId="6"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7" fillId="3"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55" fillId="0" borderId="0"/>
    <xf numFmtId="0" fontId="37" fillId="2" borderId="0" applyNumberFormat="0" applyBorder="0" applyAlignment="0" applyProtection="0"/>
    <xf numFmtId="0" fontId="38" fillId="13"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43" fillId="4" borderId="0" applyNumberFormat="0" applyBorder="0" applyAlignment="0" applyProtection="0"/>
    <xf numFmtId="0" fontId="38" fillId="18" borderId="0" applyNumberFormat="0" applyBorder="0" applyAlignment="0" applyProtection="0"/>
    <xf numFmtId="0" fontId="44" fillId="0" borderId="3" applyNumberFormat="0" applyFill="0" applyAlignment="0" applyProtection="0"/>
    <xf numFmtId="0" fontId="38" fillId="18"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7" fillId="6"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37" fillId="5" borderId="0" applyNumberFormat="0" applyBorder="0" applyAlignment="0" applyProtection="0"/>
    <xf numFmtId="0" fontId="37" fillId="6" borderId="0" applyNumberFormat="0" applyBorder="0" applyAlignment="0" applyProtection="0"/>
    <xf numFmtId="0" fontId="38" fillId="15" borderId="0" applyNumberFormat="0" applyBorder="0" applyAlignment="0" applyProtection="0"/>
    <xf numFmtId="0" fontId="14" fillId="0" borderId="0"/>
    <xf numFmtId="0" fontId="52" fillId="0" borderId="9" applyNumberFormat="0" applyFill="0" applyAlignment="0" applyProtection="0"/>
    <xf numFmtId="0" fontId="38" fillId="9"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55" fillId="0" borderId="0"/>
    <xf numFmtId="0" fontId="42" fillId="0" borderId="0" applyNumberFormat="0" applyFill="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9" fontId="55" fillId="0" borderId="0" applyFont="0" applyFill="0" applyBorder="0" applyAlignment="0" applyProtection="0"/>
    <xf numFmtId="0" fontId="49" fillId="22"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5" fillId="0" borderId="0"/>
    <xf numFmtId="0" fontId="44" fillId="0" borderId="3" applyNumberFormat="0" applyFill="0" applyAlignment="0" applyProtection="0"/>
    <xf numFmtId="0" fontId="38" fillId="19" borderId="0" applyNumberFormat="0" applyBorder="0" applyAlignment="0" applyProtection="0"/>
    <xf numFmtId="0" fontId="43"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38" fillId="9" borderId="0" applyNumberFormat="0" applyBorder="0" applyAlignment="0" applyProtection="0"/>
    <xf numFmtId="0" fontId="37" fillId="10"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42" fillId="0" borderId="0" applyNumberFormat="0" applyFill="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45" fillId="0" borderId="4" applyNumberFormat="0" applyFill="0" applyAlignment="0" applyProtection="0"/>
    <xf numFmtId="0" fontId="38" fillId="14" borderId="0" applyNumberFormat="0" applyBorder="0" applyAlignment="0" applyProtection="0"/>
    <xf numFmtId="0" fontId="48" fillId="0" borderId="6" applyNumberFormat="0" applyFill="0" applyAlignment="0" applyProtection="0"/>
    <xf numFmtId="0" fontId="51" fillId="0" borderId="0" applyNumberFormat="0" applyFill="0" applyBorder="0" applyAlignment="0" applyProtection="0"/>
    <xf numFmtId="0" fontId="37" fillId="8"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37" fillId="8" borderId="0" applyNumberFormat="0" applyBorder="0" applyAlignment="0" applyProtection="0"/>
    <xf numFmtId="0" fontId="38" fillId="18" borderId="0" applyNumberFormat="0" applyBorder="0" applyAlignment="0" applyProtection="0"/>
    <xf numFmtId="0" fontId="48" fillId="0" borderId="6" applyNumberFormat="0" applyFill="0" applyAlignment="0" applyProtection="0"/>
    <xf numFmtId="0" fontId="48" fillId="0" borderId="6" applyNumberFormat="0" applyFill="0" applyAlignment="0" applyProtection="0"/>
    <xf numFmtId="0" fontId="55" fillId="23" borderId="7" applyNumberFormat="0" applyFont="0" applyAlignment="0" applyProtection="0"/>
    <xf numFmtId="0" fontId="38" fillId="19" borderId="0" applyNumberFormat="0" applyBorder="0" applyAlignment="0" applyProtection="0"/>
    <xf numFmtId="0" fontId="45" fillId="0" borderId="4" applyNumberFormat="0" applyFill="0" applyAlignment="0" applyProtection="0"/>
    <xf numFmtId="0" fontId="46" fillId="0" borderId="5"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55" fillId="23" borderId="7" applyNumberFormat="0" applyFont="0" applyAlignment="0" applyProtection="0"/>
    <xf numFmtId="0" fontId="38" fillId="1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41" fillId="21" borderId="2" applyNumberFormat="0" applyAlignment="0" applyProtection="0"/>
    <xf numFmtId="0" fontId="49" fillId="22" borderId="0" applyNumberFormat="0" applyBorder="0" applyAlignment="0" applyProtection="0"/>
    <xf numFmtId="0" fontId="46" fillId="0" borderId="5"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53" fillId="0" borderId="0" applyNumberFormat="0" applyFill="0" applyBorder="0" applyAlignment="0" applyProtection="0"/>
    <xf numFmtId="0" fontId="55" fillId="23" borderId="7" applyNumberFormat="0" applyFont="0" applyAlignment="0" applyProtection="0"/>
    <xf numFmtId="0" fontId="38" fillId="18" borderId="0" applyNumberFormat="0" applyBorder="0" applyAlignment="0" applyProtection="0"/>
    <xf numFmtId="0" fontId="38" fillId="16" borderId="0" applyNumberFormat="0" applyBorder="0" applyAlignment="0" applyProtection="0"/>
    <xf numFmtId="0" fontId="37" fillId="9" borderId="0" applyNumberFormat="0" applyBorder="0" applyAlignment="0" applyProtection="0"/>
    <xf numFmtId="0" fontId="38" fillId="18" borderId="0" applyNumberFormat="0" applyBorder="0" applyAlignment="0" applyProtection="0"/>
    <xf numFmtId="0" fontId="47" fillId="7" borderId="1" applyNumberFormat="0" applyAlignment="0" applyProtection="0"/>
    <xf numFmtId="0" fontId="38" fillId="10" borderId="0" applyNumberFormat="0" applyBorder="0" applyAlignment="0" applyProtection="0"/>
    <xf numFmtId="0" fontId="52" fillId="0" borderId="9" applyNumberFormat="0" applyFill="0" applyAlignment="0" applyProtection="0"/>
    <xf numFmtId="0" fontId="38" fillId="10"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38" fillId="15" borderId="0" applyNumberFormat="0" applyBorder="0" applyAlignment="0" applyProtection="0"/>
    <xf numFmtId="0" fontId="37" fillId="10" borderId="0" applyNumberFormat="0" applyBorder="0" applyAlignment="0" applyProtection="0"/>
    <xf numFmtId="0" fontId="38" fillId="19"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51" fillId="0" borderId="0" applyNumberFormat="0" applyFill="0" applyBorder="0" applyAlignment="0" applyProtection="0"/>
    <xf numFmtId="0" fontId="38" fillId="14"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9" borderId="0" applyNumberFormat="0" applyBorder="0" applyAlignment="0" applyProtection="0"/>
    <xf numFmtId="0" fontId="37" fillId="10" borderId="0" applyNumberFormat="0" applyBorder="0" applyAlignment="0" applyProtection="0"/>
    <xf numFmtId="0" fontId="38" fillId="15" borderId="0" applyNumberFormat="0" applyBorder="0" applyAlignment="0" applyProtection="0"/>
    <xf numFmtId="0" fontId="49" fillId="22" borderId="0" applyNumberFormat="0" applyBorder="0" applyAlignment="0" applyProtection="0"/>
    <xf numFmtId="0" fontId="53" fillId="0" borderId="0" applyNumberFormat="0" applyFill="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7" fillId="5" borderId="0" applyNumberFormat="0" applyBorder="0" applyAlignment="0" applyProtection="0"/>
    <xf numFmtId="0" fontId="38" fillId="16"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53" fillId="0" borderId="0" applyNumberFormat="0" applyFill="0" applyBorder="0" applyAlignment="0" applyProtection="0"/>
    <xf numFmtId="0" fontId="49" fillId="22" borderId="0" applyNumberFormat="0" applyBorder="0" applyAlignment="0" applyProtection="0"/>
    <xf numFmtId="0" fontId="37" fillId="4" borderId="0" applyNumberFormat="0" applyBorder="0" applyAlignment="0" applyProtection="0"/>
    <xf numFmtId="0" fontId="55" fillId="0" borderId="0"/>
    <xf numFmtId="0" fontId="37" fillId="5"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7" fillId="3"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52" fillId="0" borderId="9" applyNumberFormat="0" applyFill="0" applyAlignment="0" applyProtection="0"/>
    <xf numFmtId="0" fontId="46" fillId="0" borderId="5" applyNumberFormat="0" applyFill="0" applyAlignment="0" applyProtection="0"/>
    <xf numFmtId="0" fontId="40" fillId="20" borderId="1" applyNumberFormat="0" applyAlignment="0" applyProtection="0"/>
    <xf numFmtId="0" fontId="38" fillId="13" borderId="0" applyNumberFormat="0" applyBorder="0" applyAlignment="0" applyProtection="0"/>
    <xf numFmtId="0" fontId="38" fillId="10"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53" fillId="0" borderId="0" applyNumberFormat="0" applyFill="0" applyBorder="0" applyAlignment="0" applyProtection="0"/>
    <xf numFmtId="0" fontId="37" fillId="11"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7" borderId="0" applyNumberFormat="0" applyBorder="0" applyAlignment="0" applyProtection="0"/>
    <xf numFmtId="0" fontId="38" fillId="19"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7" fillId="5" borderId="0" applyNumberFormat="0" applyBorder="0" applyAlignment="0" applyProtection="0"/>
    <xf numFmtId="0" fontId="41" fillId="21" borderId="2" applyNumberFormat="0" applyAlignment="0" applyProtection="0"/>
    <xf numFmtId="0" fontId="37" fillId="5"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51" fillId="0" borderId="0" applyNumberFormat="0" applyFill="0" applyBorder="0" applyAlignment="0" applyProtection="0"/>
    <xf numFmtId="0" fontId="37" fillId="9" borderId="0" applyNumberFormat="0" applyBorder="0" applyAlignment="0" applyProtection="0"/>
    <xf numFmtId="0" fontId="37" fillId="6"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49" fillId="22"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7" fillId="8"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48" fillId="0" borderId="6" applyNumberFormat="0" applyFill="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8" fillId="10"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3" borderId="0" applyNumberFormat="0" applyBorder="0" applyAlignment="0" applyProtection="0"/>
    <xf numFmtId="0" fontId="37" fillId="11"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38" fillId="15" borderId="0" applyNumberFormat="0" applyBorder="0" applyAlignment="0" applyProtection="0"/>
    <xf numFmtId="0" fontId="45" fillId="0" borderId="4"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7" borderId="0" applyNumberFormat="0" applyBorder="0" applyAlignment="0" applyProtection="0"/>
    <xf numFmtId="0" fontId="53" fillId="0" borderId="0" applyNumberFormat="0" applyFill="0" applyBorder="0" applyAlignment="0" applyProtection="0"/>
    <xf numFmtId="0" fontId="37" fillId="2" borderId="0" applyNumberFormat="0" applyBorder="0" applyAlignment="0" applyProtection="0"/>
    <xf numFmtId="0" fontId="37" fillId="8" borderId="0" applyNumberFormat="0" applyBorder="0" applyAlignment="0" applyProtection="0"/>
    <xf numFmtId="0" fontId="14" fillId="0" borderId="0"/>
    <xf numFmtId="0" fontId="38" fillId="18" borderId="0" applyNumberFormat="0" applyBorder="0" applyAlignment="0" applyProtection="0"/>
    <xf numFmtId="0" fontId="39" fillId="3" borderId="0" applyNumberFormat="0" applyBorder="0" applyAlignment="0" applyProtection="0"/>
    <xf numFmtId="0" fontId="37" fillId="5" borderId="0" applyNumberFormat="0" applyBorder="0" applyAlignment="0" applyProtection="0"/>
    <xf numFmtId="0" fontId="55" fillId="0" borderId="0"/>
    <xf numFmtId="0" fontId="37" fillId="5" borderId="0" applyNumberFormat="0" applyBorder="0" applyAlignment="0" applyProtection="0"/>
    <xf numFmtId="0" fontId="42" fillId="0" borderId="0" applyNumberFormat="0" applyFill="0" applyBorder="0" applyAlignment="0" applyProtection="0"/>
    <xf numFmtId="0" fontId="38" fillId="14"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55" fillId="0" borderId="0"/>
    <xf numFmtId="0" fontId="48" fillId="0" borderId="6" applyNumberFormat="0" applyFill="0" applyAlignment="0" applyProtection="0"/>
    <xf numFmtId="0" fontId="38" fillId="10" borderId="0" applyNumberFormat="0" applyBorder="0" applyAlignment="0" applyProtection="0"/>
    <xf numFmtId="0" fontId="38" fillId="15" borderId="0" applyNumberFormat="0" applyBorder="0" applyAlignment="0" applyProtection="0"/>
    <xf numFmtId="0" fontId="55" fillId="0" borderId="0"/>
    <xf numFmtId="0" fontId="38" fillId="15" borderId="0" applyNumberFormat="0" applyBorder="0" applyAlignment="0" applyProtection="0"/>
    <xf numFmtId="0" fontId="55" fillId="0" borderId="0"/>
    <xf numFmtId="0" fontId="55" fillId="0" borderId="0"/>
    <xf numFmtId="0" fontId="55" fillId="0" borderId="0"/>
    <xf numFmtId="0" fontId="37" fillId="5" borderId="0" applyNumberFormat="0" applyBorder="0" applyAlignment="0" applyProtection="0"/>
    <xf numFmtId="0" fontId="43" fillId="4" borderId="0" applyNumberFormat="0" applyBorder="0" applyAlignment="0" applyProtection="0"/>
    <xf numFmtId="0" fontId="55" fillId="0" borderId="0"/>
    <xf numFmtId="0" fontId="38" fillId="13"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174" fontId="14" fillId="0" borderId="0"/>
    <xf numFmtId="0" fontId="14" fillId="0" borderId="0"/>
    <xf numFmtId="0" fontId="79" fillId="0" borderId="0"/>
    <xf numFmtId="174" fontId="14" fillId="0" borderId="0"/>
    <xf numFmtId="0" fontId="38" fillId="14" borderId="0" applyNumberFormat="0" applyBorder="0" applyAlignment="0" applyProtection="0"/>
    <xf numFmtId="0" fontId="38" fillId="1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37" fillId="3" borderId="0" applyNumberFormat="0" applyBorder="0" applyAlignment="0" applyProtection="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174" fontId="14" fillId="0" borderId="0"/>
    <xf numFmtId="0" fontId="14" fillId="0" borderId="0"/>
    <xf numFmtId="0" fontId="79" fillId="0" borderId="0"/>
    <xf numFmtId="174" fontId="14" fillId="0" borderId="0"/>
    <xf numFmtId="0" fontId="55" fillId="0" borderId="0"/>
    <xf numFmtId="0" fontId="55" fillId="0" borderId="0"/>
    <xf numFmtId="0" fontId="55" fillId="0" borderId="0"/>
    <xf numFmtId="0" fontId="55" fillId="0" borderId="0"/>
    <xf numFmtId="0" fontId="55" fillId="0" borderId="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55" fillId="0" borderId="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7" fillId="3"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8" fillId="13"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55" fillId="0" borderId="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5" fillId="0" borderId="0"/>
    <xf numFmtId="0" fontId="37" fillId="8"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38" fillId="14" borderId="0" applyNumberFormat="0" applyBorder="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0" fontId="37" fillId="11" borderId="0" applyNumberFormat="0" applyBorder="0" applyAlignment="0" applyProtection="0"/>
    <xf numFmtId="0" fontId="55" fillId="0" borderId="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44" fillId="0" borderId="3"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0" fontId="37" fillId="8" borderId="0" applyNumberFormat="0" applyBorder="0" applyAlignment="0" applyProtection="0"/>
    <xf numFmtId="0" fontId="46"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0" fillId="20" borderId="1"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49" fillId="22"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55" fillId="0" borderId="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38" fillId="17" borderId="0" applyNumberFormat="0" applyBorder="0" applyAlignment="0" applyProtection="0"/>
    <xf numFmtId="0" fontId="37" fillId="8" borderId="0" applyNumberFormat="0" applyBorder="0" applyAlignment="0" applyProtection="0"/>
    <xf numFmtId="0" fontId="45" fillId="0" borderId="4" applyNumberFormat="0" applyFill="0" applyAlignment="0" applyProtection="0"/>
    <xf numFmtId="0" fontId="55" fillId="0" borderId="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0" fontId="38" fillId="19" borderId="0" applyNumberFormat="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45" fillId="0" borderId="4" applyNumberFormat="0" applyFill="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0" fontId="49" fillId="22"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37" fillId="4" borderId="0" applyNumberFormat="0" applyBorder="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8" fillId="1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8" fillId="0" borderId="6"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45" fillId="0" borderId="4" applyNumberFormat="0" applyFill="0" applyAlignment="0" applyProtection="0"/>
    <xf numFmtId="0" fontId="38" fillId="17" borderId="0" applyNumberFormat="0" applyBorder="0" applyAlignment="0" applyProtection="0"/>
    <xf numFmtId="0" fontId="38" fillId="9"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0" fontId="38" fillId="15"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9" fontId="55" fillId="0" borderId="0" applyFont="0" applyFill="0" applyBorder="0" applyAlignment="0" applyProtection="0"/>
    <xf numFmtId="0" fontId="38" fillId="15" borderId="0" applyNumberFormat="0" applyBorder="0" applyAlignment="0" applyProtection="0"/>
    <xf numFmtId="0" fontId="38" fillId="17" borderId="0" applyNumberFormat="0" applyBorder="0" applyAlignment="0" applyProtection="0"/>
    <xf numFmtId="0" fontId="38" fillId="10" borderId="0" applyNumberFormat="0" applyBorder="0" applyAlignment="0" applyProtection="0"/>
    <xf numFmtId="0" fontId="55" fillId="0" borderId="0"/>
    <xf numFmtId="0" fontId="38" fillId="10" borderId="0" applyNumberFormat="0" applyBorder="0" applyAlignment="0" applyProtection="0"/>
    <xf numFmtId="0" fontId="46" fillId="0" borderId="5" applyNumberFormat="0" applyFill="0" applyAlignment="0" applyProtection="0"/>
    <xf numFmtId="0" fontId="44" fillId="0" borderId="3" applyNumberFormat="0" applyFill="0" applyAlignment="0" applyProtection="0"/>
    <xf numFmtId="0" fontId="49" fillId="22" borderId="0" applyNumberFormat="0" applyBorder="0" applyAlignment="0" applyProtection="0"/>
    <xf numFmtId="0" fontId="45" fillId="0" borderId="4"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45" fillId="0" borderId="4" applyNumberFormat="0" applyFill="0" applyAlignment="0" applyProtection="0"/>
    <xf numFmtId="0" fontId="53" fillId="0" borderId="0" applyNumberFormat="0" applyFill="0" applyBorder="0" applyAlignment="0" applyProtection="0"/>
    <xf numFmtId="0" fontId="40" fillId="20" borderId="1" applyNumberFormat="0" applyAlignment="0" applyProtection="0"/>
    <xf numFmtId="0" fontId="44" fillId="0" borderId="3" applyNumberFormat="0" applyFill="0" applyAlignment="0" applyProtection="0"/>
    <xf numFmtId="0" fontId="45" fillId="0" borderId="4" applyNumberFormat="0" applyFill="0" applyAlignment="0" applyProtection="0"/>
    <xf numFmtId="0" fontId="14" fillId="0" borderId="0"/>
    <xf numFmtId="0" fontId="53" fillId="0" borderId="0" applyNumberFormat="0" applyFill="0" applyBorder="0" applyAlignment="0" applyProtection="0"/>
    <xf numFmtId="0" fontId="37" fillId="5" borderId="0" applyNumberFormat="0" applyBorder="0" applyAlignment="0" applyProtection="0"/>
    <xf numFmtId="0" fontId="45" fillId="0" borderId="4" applyNumberFormat="0" applyFill="0" applyAlignment="0" applyProtection="0"/>
    <xf numFmtId="0" fontId="48" fillId="0" borderId="6" applyNumberFormat="0" applyFill="0" applyAlignment="0" applyProtection="0"/>
    <xf numFmtId="0" fontId="38" fillId="13" borderId="0" applyNumberFormat="0" applyBorder="0" applyAlignment="0" applyProtection="0"/>
    <xf numFmtId="0" fontId="41" fillId="21" borderId="2" applyNumberFormat="0" applyAlignment="0" applyProtection="0"/>
    <xf numFmtId="0" fontId="37" fillId="6" borderId="0" applyNumberFormat="0" applyBorder="0" applyAlignment="0" applyProtection="0"/>
    <xf numFmtId="0" fontId="41" fillId="21" borderId="2" applyNumberFormat="0" applyAlignment="0" applyProtection="0"/>
    <xf numFmtId="0" fontId="37" fillId="3" borderId="0" applyNumberFormat="0" applyBorder="0" applyAlignment="0" applyProtection="0"/>
    <xf numFmtId="0" fontId="48" fillId="0" borderId="6" applyNumberFormat="0" applyFill="0" applyAlignment="0" applyProtection="0"/>
    <xf numFmtId="0" fontId="49" fillId="22"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43" fontId="55" fillId="0" borderId="0" applyFont="0" applyFill="0" applyBorder="0" applyAlignment="0" applyProtection="0"/>
    <xf numFmtId="0" fontId="38" fillId="14"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7" fillId="2" borderId="0" applyNumberFormat="0" applyBorder="0" applyAlignment="0" applyProtection="0"/>
    <xf numFmtId="0" fontId="39" fillId="3" borderId="0" applyNumberFormat="0" applyBorder="0" applyAlignment="0" applyProtection="0"/>
    <xf numFmtId="0" fontId="41" fillId="21" borderId="2" applyNumberFormat="0" applyAlignment="0" applyProtection="0"/>
    <xf numFmtId="0" fontId="55" fillId="23" borderId="7" applyNumberFormat="0" applyFont="0" applyAlignment="0" applyProtection="0"/>
    <xf numFmtId="0" fontId="47" fillId="7" borderId="1" applyNumberFormat="0" applyAlignment="0" applyProtection="0"/>
    <xf numFmtId="0" fontId="55" fillId="23" borderId="7" applyNumberFormat="0" applyFont="0" applyAlignment="0" applyProtection="0"/>
    <xf numFmtId="0" fontId="37" fillId="2" borderId="0" applyNumberFormat="0" applyBorder="0" applyAlignment="0" applyProtection="0"/>
    <xf numFmtId="0" fontId="39" fillId="3" borderId="0" applyNumberFormat="0" applyBorder="0" applyAlignment="0" applyProtection="0"/>
    <xf numFmtId="0" fontId="50" fillId="20" borderId="8" applyNumberFormat="0" applyAlignment="0" applyProtection="0"/>
    <xf numFmtId="0" fontId="37" fillId="3" borderId="0" applyNumberFormat="0" applyBorder="0" applyAlignment="0" applyProtection="0"/>
    <xf numFmtId="0" fontId="38" fillId="12"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50" fillId="20" borderId="8" applyNumberFormat="0" applyAlignment="0" applyProtection="0"/>
    <xf numFmtId="0" fontId="37" fillId="5"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53" fillId="0" borderId="0" applyNumberFormat="0" applyFill="0" applyBorder="0" applyAlignment="0" applyProtection="0"/>
    <xf numFmtId="0" fontId="38" fillId="16" borderId="0" applyNumberFormat="0" applyBorder="0" applyAlignment="0" applyProtection="0"/>
    <xf numFmtId="0" fontId="38" fillId="19" borderId="0" applyNumberFormat="0" applyBorder="0" applyAlignment="0" applyProtection="0"/>
    <xf numFmtId="0" fontId="55" fillId="0" borderId="0"/>
    <xf numFmtId="0" fontId="38" fillId="19" borderId="0" applyNumberFormat="0" applyBorder="0" applyAlignment="0" applyProtection="0"/>
    <xf numFmtId="0" fontId="55" fillId="0" borderId="0"/>
    <xf numFmtId="0" fontId="38" fillId="13"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48" fillId="0" borderId="6" applyNumberFormat="0" applyFill="0" applyAlignment="0" applyProtection="0"/>
    <xf numFmtId="0" fontId="38" fillId="15"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44" fillId="0" borderId="3" applyNumberFormat="0" applyFill="0" applyAlignment="0" applyProtection="0"/>
    <xf numFmtId="0" fontId="38" fillId="16" borderId="0" applyNumberFormat="0" applyBorder="0" applyAlignment="0" applyProtection="0"/>
    <xf numFmtId="0" fontId="51" fillId="0" borderId="0" applyNumberFormat="0" applyFill="0" applyBorder="0" applyAlignment="0" applyProtection="0"/>
    <xf numFmtId="0" fontId="47" fillId="7" borderId="1" applyNumberFormat="0" applyAlignment="0" applyProtection="0"/>
    <xf numFmtId="0" fontId="46" fillId="0" borderId="0" applyNumberFormat="0" applyFill="0" applyBorder="0" applyAlignment="0" applyProtection="0"/>
    <xf numFmtId="0" fontId="37" fillId="3" borderId="0" applyNumberFormat="0" applyBorder="0" applyAlignment="0" applyProtection="0"/>
    <xf numFmtId="0" fontId="52" fillId="0" borderId="9" applyNumberFormat="0" applyFill="0" applyAlignment="0" applyProtection="0"/>
    <xf numFmtId="0" fontId="55" fillId="0" borderId="0"/>
    <xf numFmtId="0" fontId="37" fillId="7"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9" borderId="0" applyNumberFormat="0" applyBorder="0" applyAlignment="0" applyProtection="0"/>
    <xf numFmtId="0" fontId="45" fillId="0" borderId="4" applyNumberFormat="0" applyFill="0" applyAlignment="0" applyProtection="0"/>
    <xf numFmtId="0" fontId="38" fillId="16" borderId="0" applyNumberFormat="0" applyBorder="0" applyAlignment="0" applyProtection="0"/>
    <xf numFmtId="0" fontId="55" fillId="0" borderId="0"/>
    <xf numFmtId="0" fontId="38" fillId="13" borderId="0" applyNumberFormat="0" applyBorder="0" applyAlignment="0" applyProtection="0"/>
    <xf numFmtId="0" fontId="55" fillId="23" borderId="7" applyNumberFormat="0" applyFont="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5" borderId="0" applyNumberFormat="0" applyBorder="0" applyAlignment="0" applyProtection="0"/>
    <xf numFmtId="0" fontId="38" fillId="9" borderId="0" applyNumberFormat="0" applyBorder="0" applyAlignment="0" applyProtection="0"/>
    <xf numFmtId="0" fontId="37" fillId="5" borderId="0" applyNumberFormat="0" applyBorder="0" applyAlignment="0" applyProtection="0"/>
    <xf numFmtId="0" fontId="50" fillId="20" borderId="8" applyNumberFormat="0" applyAlignment="0" applyProtection="0"/>
    <xf numFmtId="0" fontId="55" fillId="23" borderId="7" applyNumberFormat="0" applyFont="0" applyAlignment="0" applyProtection="0"/>
    <xf numFmtId="0" fontId="38" fillId="18" borderId="0" applyNumberFormat="0" applyBorder="0" applyAlignment="0" applyProtection="0"/>
    <xf numFmtId="0" fontId="38" fillId="9" borderId="0" applyNumberFormat="0" applyBorder="0" applyAlignment="0" applyProtection="0"/>
    <xf numFmtId="0" fontId="55" fillId="0" borderId="0"/>
    <xf numFmtId="0" fontId="38" fillId="14"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55" fillId="0" borderId="0"/>
    <xf numFmtId="0" fontId="44" fillId="0" borderId="3" applyNumberFormat="0" applyFill="0" applyAlignment="0" applyProtection="0"/>
    <xf numFmtId="0" fontId="38" fillId="13" borderId="0" applyNumberFormat="0" applyBorder="0" applyAlignment="0" applyProtection="0"/>
    <xf numFmtId="0" fontId="52" fillId="0" borderId="9" applyNumberFormat="0" applyFill="0" applyAlignment="0" applyProtection="0"/>
    <xf numFmtId="0" fontId="38" fillId="14"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46" fillId="0" borderId="0" applyNumberFormat="0" applyFill="0" applyBorder="0" applyAlignment="0" applyProtection="0"/>
    <xf numFmtId="0" fontId="37" fillId="10"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7" fillId="7" borderId="0" applyNumberFormat="0" applyBorder="0" applyAlignment="0" applyProtection="0"/>
    <xf numFmtId="0" fontId="37" fillId="10" borderId="0" applyNumberFormat="0" applyBorder="0" applyAlignment="0" applyProtection="0"/>
    <xf numFmtId="0" fontId="38" fillId="9" borderId="0" applyNumberFormat="0" applyBorder="0" applyAlignment="0" applyProtection="0"/>
    <xf numFmtId="0" fontId="37" fillId="11"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55" fillId="23" borderId="7" applyNumberFormat="0" applyFont="0" applyAlignment="0" applyProtection="0"/>
    <xf numFmtId="0" fontId="40" fillId="20" borderId="1" applyNumberFormat="0" applyAlignment="0" applyProtection="0"/>
    <xf numFmtId="0" fontId="37" fillId="6" borderId="0" applyNumberFormat="0" applyBorder="0" applyAlignment="0" applyProtection="0"/>
    <xf numFmtId="0" fontId="38" fillId="15" borderId="0" applyNumberFormat="0" applyBorder="0" applyAlignment="0" applyProtection="0"/>
    <xf numFmtId="0" fontId="37" fillId="9" borderId="0" applyNumberFormat="0" applyBorder="0" applyAlignment="0" applyProtection="0"/>
    <xf numFmtId="0" fontId="53" fillId="0" borderId="0" applyNumberFormat="0" applyFill="0" applyBorder="0" applyAlignment="0" applyProtection="0"/>
    <xf numFmtId="0" fontId="55" fillId="0" borderId="0"/>
    <xf numFmtId="0" fontId="55" fillId="23" borderId="7" applyNumberFormat="0" applyFont="0" applyAlignment="0" applyProtection="0"/>
    <xf numFmtId="0" fontId="37" fillId="11"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5" fillId="0" borderId="4" applyNumberFormat="0" applyFill="0" applyAlignment="0" applyProtection="0"/>
    <xf numFmtId="0" fontId="50" fillId="20" borderId="8" applyNumberFormat="0" applyAlignment="0" applyProtection="0"/>
    <xf numFmtId="0" fontId="41" fillId="21" borderId="2" applyNumberFormat="0" applyAlignment="0" applyProtection="0"/>
    <xf numFmtId="0" fontId="38" fillId="18" borderId="0" applyNumberFormat="0" applyBorder="0" applyAlignment="0" applyProtection="0"/>
    <xf numFmtId="0" fontId="37" fillId="11"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37" fillId="2"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8" fillId="0" borderId="6" applyNumberFormat="0" applyFill="0" applyAlignment="0" applyProtection="0"/>
    <xf numFmtId="0" fontId="38" fillId="17" borderId="0" applyNumberFormat="0" applyBorder="0" applyAlignment="0" applyProtection="0"/>
    <xf numFmtId="0" fontId="46" fillId="0" borderId="5" applyNumberFormat="0" applyFill="0" applyAlignment="0" applyProtection="0"/>
    <xf numFmtId="0" fontId="38" fillId="17" borderId="0" applyNumberFormat="0" applyBorder="0" applyAlignment="0" applyProtection="0"/>
    <xf numFmtId="0" fontId="38" fillId="19" borderId="0" applyNumberFormat="0" applyBorder="0" applyAlignment="0" applyProtection="0"/>
    <xf numFmtId="0" fontId="37" fillId="2"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9" borderId="0" applyNumberFormat="0" applyBorder="0" applyAlignment="0" applyProtection="0"/>
    <xf numFmtId="0" fontId="37" fillId="6" borderId="0" applyNumberFormat="0" applyBorder="0" applyAlignment="0" applyProtection="0"/>
    <xf numFmtId="0" fontId="55" fillId="0" borderId="0"/>
    <xf numFmtId="0" fontId="55" fillId="0" borderId="0"/>
    <xf numFmtId="0" fontId="37" fillId="2" borderId="0" applyNumberFormat="0" applyBorder="0" applyAlignment="0" applyProtection="0"/>
    <xf numFmtId="0" fontId="40" fillId="20" borderId="1" applyNumberFormat="0" applyAlignment="0" applyProtection="0"/>
    <xf numFmtId="0" fontId="38" fillId="9" borderId="0" applyNumberFormat="0" applyBorder="0" applyAlignment="0" applyProtection="0"/>
    <xf numFmtId="0" fontId="37" fillId="11"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55" fillId="0" borderId="0"/>
    <xf numFmtId="0" fontId="38" fillId="19"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9" fillId="3" borderId="0" applyNumberFormat="0" applyBorder="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2" borderId="0" applyNumberFormat="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55" fillId="23" borderId="7" applyNumberFormat="0" applyFont="0" applyAlignment="0" applyProtection="0"/>
    <xf numFmtId="0" fontId="40" fillId="20" borderId="1" applyNumberFormat="0" applyAlignment="0" applyProtection="0"/>
    <xf numFmtId="0" fontId="37" fillId="6"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49" fillId="22" borderId="0" applyNumberFormat="0" applyBorder="0" applyAlignment="0" applyProtection="0"/>
    <xf numFmtId="0" fontId="44" fillId="0" borderId="3" applyNumberFormat="0" applyFill="0" applyAlignment="0" applyProtection="0"/>
    <xf numFmtId="0" fontId="37" fillId="5" borderId="0" applyNumberFormat="0" applyBorder="0" applyAlignment="0" applyProtection="0"/>
    <xf numFmtId="0" fontId="40" fillId="20" borderId="1" applyNumberFormat="0" applyAlignment="0" applyProtection="0"/>
    <xf numFmtId="0" fontId="38" fillId="10" borderId="0" applyNumberFormat="0" applyBorder="0" applyAlignment="0" applyProtection="0"/>
    <xf numFmtId="0" fontId="38" fillId="15" borderId="0" applyNumberFormat="0" applyBorder="0" applyAlignment="0" applyProtection="0"/>
    <xf numFmtId="0" fontId="55" fillId="0" borderId="0"/>
    <xf numFmtId="0" fontId="38" fillId="18" borderId="0" applyNumberFormat="0" applyBorder="0" applyAlignment="0" applyProtection="0"/>
    <xf numFmtId="0" fontId="37" fillId="4" borderId="0" applyNumberFormat="0" applyBorder="0" applyAlignment="0" applyProtection="0"/>
    <xf numFmtId="0" fontId="38" fillId="17" borderId="0" applyNumberFormat="0" applyBorder="0" applyAlignment="0" applyProtection="0"/>
    <xf numFmtId="0" fontId="42" fillId="0" borderId="0" applyNumberFormat="0" applyFill="0" applyBorder="0" applyAlignment="0" applyProtection="0"/>
    <xf numFmtId="0" fontId="55" fillId="0" borderId="0"/>
    <xf numFmtId="0" fontId="38" fillId="15" borderId="0" applyNumberFormat="0" applyBorder="0" applyAlignment="0" applyProtection="0"/>
    <xf numFmtId="0" fontId="41" fillId="21" borderId="2" applyNumberFormat="0" applyAlignment="0" applyProtection="0"/>
    <xf numFmtId="0" fontId="55" fillId="0" borderId="0"/>
    <xf numFmtId="0" fontId="48" fillId="0" borderId="6" applyNumberFormat="0" applyFill="0" applyAlignment="0" applyProtection="0"/>
    <xf numFmtId="0" fontId="38" fillId="9" borderId="0" applyNumberFormat="0" applyBorder="0" applyAlignment="0" applyProtection="0"/>
    <xf numFmtId="43" fontId="55" fillId="0" borderId="0" applyFont="0" applyFill="0" applyBorder="0" applyAlignment="0" applyProtection="0"/>
    <xf numFmtId="0" fontId="38" fillId="19" borderId="0" applyNumberFormat="0" applyBorder="0" applyAlignment="0" applyProtection="0"/>
    <xf numFmtId="0" fontId="37" fillId="10" borderId="0" applyNumberFormat="0" applyBorder="0" applyAlignment="0" applyProtection="0"/>
    <xf numFmtId="0" fontId="42" fillId="0" borderId="0" applyNumberFormat="0" applyFill="0" applyBorder="0" applyAlignment="0" applyProtection="0"/>
    <xf numFmtId="0" fontId="38" fillId="10" borderId="0" applyNumberFormat="0" applyBorder="0" applyAlignment="0" applyProtection="0"/>
    <xf numFmtId="0" fontId="46" fillId="0" borderId="5" applyNumberFormat="0" applyFill="0" applyAlignment="0" applyProtection="0"/>
    <xf numFmtId="0" fontId="47" fillId="7" borderId="1" applyNumberFormat="0" applyAlignment="0" applyProtection="0"/>
    <xf numFmtId="0" fontId="38" fillId="19" borderId="0" applyNumberFormat="0" applyBorder="0" applyAlignment="0" applyProtection="0"/>
    <xf numFmtId="0" fontId="55" fillId="0" borderId="0"/>
    <xf numFmtId="0" fontId="37" fillId="8"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38" fillId="10" borderId="0" applyNumberFormat="0" applyBorder="0" applyAlignment="0" applyProtection="0"/>
    <xf numFmtId="0" fontId="37" fillId="8" borderId="0" applyNumberFormat="0" applyBorder="0" applyAlignment="0" applyProtection="0"/>
    <xf numFmtId="0" fontId="41" fillId="21" borderId="2" applyNumberFormat="0" applyAlignment="0" applyProtection="0"/>
    <xf numFmtId="0" fontId="46" fillId="0" borderId="5" applyNumberFormat="0" applyFill="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42" fillId="0" borderId="0" applyNumberFormat="0" applyFill="0" applyBorder="0" applyAlignment="0" applyProtection="0"/>
    <xf numFmtId="0" fontId="48" fillId="0" borderId="6" applyNumberFormat="0" applyFill="0" applyAlignment="0" applyProtection="0"/>
    <xf numFmtId="0" fontId="48" fillId="0" borderId="6" applyNumberFormat="0" applyFill="0" applyAlignment="0" applyProtection="0"/>
    <xf numFmtId="0" fontId="49" fillId="22"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7" fillId="3" borderId="0" applyNumberFormat="0" applyBorder="0" applyAlignment="0" applyProtection="0"/>
    <xf numFmtId="0" fontId="39" fillId="3" borderId="0" applyNumberFormat="0" applyBorder="0" applyAlignment="0" applyProtection="0"/>
    <xf numFmtId="0" fontId="38" fillId="13"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42" fillId="0" borderId="0" applyNumberFormat="0" applyFill="0" applyBorder="0" applyAlignment="0" applyProtection="0"/>
    <xf numFmtId="0" fontId="52" fillId="0" borderId="9" applyNumberFormat="0" applyFill="0" applyAlignment="0" applyProtection="0"/>
    <xf numFmtId="0" fontId="38" fillId="16" borderId="0" applyNumberFormat="0" applyBorder="0" applyAlignment="0" applyProtection="0"/>
    <xf numFmtId="0" fontId="46" fillId="0" borderId="0" applyNumberFormat="0" applyFill="0" applyBorder="0" applyAlignment="0" applyProtection="0"/>
    <xf numFmtId="0" fontId="40" fillId="20" borderId="1" applyNumberFormat="0" applyAlignment="0" applyProtection="0"/>
    <xf numFmtId="0" fontId="37" fillId="3"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9"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8" fillId="19"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38" fillId="14" borderId="0" applyNumberFormat="0" applyBorder="0" applyAlignment="0" applyProtection="0"/>
    <xf numFmtId="0" fontId="38" fillId="14" borderId="0" applyNumberFormat="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49" fillId="22" borderId="0" applyNumberFormat="0" applyBorder="0" applyAlignment="0" applyProtection="0"/>
    <xf numFmtId="0" fontId="46" fillId="0" borderId="5" applyNumberFormat="0" applyFill="0" applyAlignment="0" applyProtection="0"/>
    <xf numFmtId="0" fontId="37" fillId="8"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44" fillId="0" borderId="3" applyNumberFormat="0" applyFill="0" applyAlignment="0" applyProtection="0"/>
    <xf numFmtId="0" fontId="47" fillId="7" borderId="1" applyNumberFormat="0" applyAlignment="0" applyProtection="0"/>
    <xf numFmtId="0" fontId="38" fillId="1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38" fillId="19" borderId="0" applyNumberFormat="0" applyBorder="0" applyAlignment="0" applyProtection="0"/>
    <xf numFmtId="0" fontId="43" fillId="4"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38" fillId="10"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12" borderId="0" applyNumberFormat="0" applyBorder="0" applyAlignment="0" applyProtection="0"/>
    <xf numFmtId="0" fontId="37" fillId="5" borderId="0" applyNumberFormat="0" applyBorder="0" applyAlignment="0" applyProtection="0"/>
    <xf numFmtId="0" fontId="38" fillId="9" borderId="0" applyNumberFormat="0" applyBorder="0" applyAlignment="0" applyProtection="0"/>
    <xf numFmtId="0" fontId="55" fillId="0" borderId="0"/>
    <xf numFmtId="0" fontId="38" fillId="9"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44" fillId="0" borderId="3" applyNumberFormat="0" applyFill="0" applyAlignment="0" applyProtection="0"/>
    <xf numFmtId="0" fontId="37" fillId="7" borderId="0" applyNumberFormat="0" applyBorder="0" applyAlignment="0" applyProtection="0"/>
    <xf numFmtId="0" fontId="52" fillId="0" borderId="9" applyNumberFormat="0" applyFill="0" applyAlignment="0" applyProtection="0"/>
    <xf numFmtId="0" fontId="45" fillId="0" borderId="4" applyNumberFormat="0" applyFill="0" applyAlignment="0" applyProtection="0"/>
    <xf numFmtId="0" fontId="55" fillId="23" borderId="7" applyNumberFormat="0" applyFont="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5"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42" fillId="0" borderId="0" applyNumberFormat="0" applyFill="0" applyBorder="0" applyAlignment="0" applyProtection="0"/>
    <xf numFmtId="0" fontId="37" fillId="4" borderId="0" applyNumberFormat="0" applyBorder="0" applyAlignment="0" applyProtection="0"/>
    <xf numFmtId="0" fontId="44" fillId="0" borderId="3" applyNumberFormat="0" applyFill="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38" fillId="17"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5"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50" fillId="20" borderId="8" applyNumberFormat="0" applyAlignment="0" applyProtection="0"/>
    <xf numFmtId="0" fontId="52" fillId="0" borderId="9" applyNumberFormat="0" applyFill="0" applyAlignment="0" applyProtection="0"/>
    <xf numFmtId="0" fontId="37" fillId="3" borderId="0" applyNumberFormat="0" applyBorder="0" applyAlignment="0" applyProtection="0"/>
    <xf numFmtId="0" fontId="38" fillId="18"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8"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46" fillId="0" borderId="5" applyNumberFormat="0" applyFill="0" applyAlignment="0" applyProtection="0"/>
    <xf numFmtId="0" fontId="38" fillId="17"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55" fillId="23" borderId="7" applyNumberFormat="0" applyFont="0" applyAlignment="0" applyProtection="0"/>
    <xf numFmtId="0" fontId="37" fillId="4"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38" fillId="17"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46" fillId="0" borderId="5" applyNumberFormat="0" applyFill="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14" fillId="0" borderId="0"/>
    <xf numFmtId="0" fontId="38" fillId="1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9" fillId="22" borderId="0" applyNumberFormat="0" applyBorder="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52" fillId="0" borderId="9" applyNumberFormat="0" applyFill="0" applyAlignment="0" applyProtection="0"/>
    <xf numFmtId="0" fontId="49" fillId="22"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41" fillId="21" borderId="2" applyNumberFormat="0" applyAlignment="0" applyProtection="0"/>
    <xf numFmtId="0" fontId="52" fillId="0" borderId="9" applyNumberFormat="0" applyFill="0" applyAlignment="0" applyProtection="0"/>
    <xf numFmtId="0" fontId="47" fillId="7" borderId="1" applyNumberFormat="0" applyAlignment="0" applyProtection="0"/>
    <xf numFmtId="0" fontId="55" fillId="0" borderId="0"/>
    <xf numFmtId="0" fontId="55" fillId="0" borderId="0"/>
    <xf numFmtId="0" fontId="39" fillId="3"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44" fillId="0" borderId="3" applyNumberFormat="0" applyFill="0" applyAlignment="0" applyProtection="0"/>
    <xf numFmtId="0" fontId="37" fillId="7" borderId="0" applyNumberFormat="0" applyBorder="0" applyAlignment="0" applyProtection="0"/>
    <xf numFmtId="0" fontId="55" fillId="23" borderId="7" applyNumberFormat="0" applyFont="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5"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5"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50" fillId="20" borderId="8" applyNumberFormat="0" applyAlignment="0" applyProtection="0"/>
    <xf numFmtId="0" fontId="37" fillId="3" borderId="0" applyNumberFormat="0" applyBorder="0" applyAlignment="0" applyProtection="0"/>
    <xf numFmtId="0" fontId="38" fillId="18"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4" borderId="0" applyNumberFormat="0" applyBorder="0" applyAlignment="0" applyProtection="0"/>
    <xf numFmtId="0" fontId="48" fillId="0" borderId="6" applyNumberFormat="0" applyFill="0" applyAlignment="0" applyProtection="0"/>
    <xf numFmtId="0" fontId="46" fillId="0" borderId="5" applyNumberFormat="0" applyFill="0" applyAlignment="0" applyProtection="0"/>
    <xf numFmtId="0" fontId="38" fillId="17"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55" fillId="23" borderId="7" applyNumberFormat="0" applyFont="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9"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46" fillId="0" borderId="5" applyNumberFormat="0" applyFill="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2" fillId="0" borderId="9" applyNumberFormat="0" applyFill="0" applyAlignment="0" applyProtection="0"/>
    <xf numFmtId="0" fontId="49" fillId="22"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41" fillId="21" borderId="2" applyNumberFormat="0" applyAlignment="0" applyProtection="0"/>
    <xf numFmtId="0" fontId="52" fillId="0" borderId="9" applyNumberFormat="0" applyFill="0" applyAlignment="0" applyProtection="0"/>
    <xf numFmtId="0" fontId="55" fillId="0" borderId="0"/>
    <xf numFmtId="0" fontId="55" fillId="0" borderId="0"/>
    <xf numFmtId="0" fontId="37" fillId="9"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8"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3" borderId="0" applyNumberFormat="0" applyBorder="0" applyAlignment="0" applyProtection="0"/>
    <xf numFmtId="0" fontId="38" fillId="18"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4"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55" fillId="23" borderId="7" applyNumberFormat="0" applyFont="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2" fillId="0" borderId="9" applyNumberFormat="0" applyFill="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52" fillId="0" borderId="9" applyNumberFormat="0" applyFill="0" applyAlignment="0" applyProtection="0"/>
    <xf numFmtId="0" fontId="55" fillId="0" borderId="0"/>
    <xf numFmtId="0" fontId="55" fillId="0" borderId="0"/>
    <xf numFmtId="0" fontId="37" fillId="9"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9" fillId="3"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6" fillId="0" borderId="5" applyNumberFormat="0" applyFill="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11"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5"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38" fillId="10"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44" fillId="0" borderId="3" applyNumberFormat="0" applyFill="0" applyAlignment="0" applyProtection="0"/>
    <xf numFmtId="0" fontId="37" fillId="7"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9" borderId="0" applyNumberFormat="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52" fillId="0" borderId="9" applyNumberFormat="0" applyFill="0" applyAlignment="0" applyProtection="0"/>
    <xf numFmtId="0" fontId="55" fillId="0" borderId="0"/>
    <xf numFmtId="0" fontId="55" fillId="0" borderId="0"/>
    <xf numFmtId="0" fontId="55" fillId="0" borderId="0"/>
    <xf numFmtId="0" fontId="5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9" fontId="55" fillId="0" borderId="0" applyFont="0" applyFill="0" applyBorder="0" applyAlignment="0" applyProtection="0"/>
    <xf numFmtId="0" fontId="13" fillId="0" borderId="0"/>
    <xf numFmtId="0" fontId="13" fillId="0" borderId="0"/>
    <xf numFmtId="0" fontId="13" fillId="0" borderId="0"/>
    <xf numFmtId="174" fontId="13" fillId="0" borderId="0"/>
    <xf numFmtId="0"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174" fontId="13" fillId="0" borderId="0"/>
    <xf numFmtId="174" fontId="13" fillId="0" borderId="0"/>
    <xf numFmtId="174"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5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174"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55" fillId="0" borderId="0"/>
    <xf numFmtId="174" fontId="13" fillId="0" borderId="0"/>
    <xf numFmtId="174"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0" fontId="55" fillId="0" borderId="0"/>
    <xf numFmtId="174" fontId="13" fillId="0" borderId="0"/>
    <xf numFmtId="174" fontId="13" fillId="0" borderId="0"/>
    <xf numFmtId="0" fontId="13" fillId="0" borderId="0"/>
    <xf numFmtId="174" fontId="13" fillId="0" borderId="0"/>
    <xf numFmtId="174" fontId="13" fillId="0" borderId="0"/>
    <xf numFmtId="174"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55" fillId="0" borderId="0"/>
    <xf numFmtId="9"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55" fillId="0" borderId="0"/>
    <xf numFmtId="9"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55" fillId="0" borderId="0"/>
    <xf numFmtId="9" fontId="55" fillId="0" borderId="0" applyFont="0" applyFill="0" applyBorder="0" applyAlignment="0" applyProtection="0"/>
    <xf numFmtId="0" fontId="10" fillId="0" borderId="0"/>
    <xf numFmtId="0" fontId="10" fillId="0" borderId="0"/>
    <xf numFmtId="0" fontId="10" fillId="0" borderId="0"/>
    <xf numFmtId="174" fontId="10" fillId="0" borderId="0"/>
    <xf numFmtId="0" fontId="10" fillId="0" borderId="0"/>
    <xf numFmtId="0" fontId="10" fillId="0" borderId="0"/>
    <xf numFmtId="0" fontId="10" fillId="0" borderId="0"/>
    <xf numFmtId="0" fontId="55"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174" fontId="10" fillId="0" borderId="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0" fontId="10" fillId="0" borderId="0"/>
    <xf numFmtId="0" fontId="10" fillId="0" borderId="0"/>
    <xf numFmtId="9" fontId="55" fillId="0" borderId="0" applyFont="0" applyFill="0" applyBorder="0" applyAlignment="0" applyProtection="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9" fontId="55" fillId="0" borderId="0" applyFont="0" applyFill="0" applyBorder="0" applyAlignment="0" applyProtection="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0" fontId="8" fillId="0" borderId="0"/>
    <xf numFmtId="0" fontId="8" fillId="0" borderId="0"/>
    <xf numFmtId="9" fontId="5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0" borderId="0">
      <alignment horizontal="left" vertical="center" wrapText="1"/>
    </xf>
    <xf numFmtId="0" fontId="17" fillId="0" borderId="0">
      <alignment horizontal="right"/>
    </xf>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5" fillId="0" borderId="0"/>
    <xf numFmtId="0" fontId="5" fillId="0" borderId="0"/>
    <xf numFmtId="0" fontId="5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9" fontId="55" fillId="0" borderId="0" applyFont="0" applyFill="0" applyBorder="0" applyAlignment="0" applyProtection="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174" fontId="5" fillId="0" borderId="0"/>
    <xf numFmtId="9" fontId="55" fillId="0" borderId="0" applyFont="0" applyFill="0" applyBorder="0" applyAlignment="0" applyProtection="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0" fontId="5" fillId="0" borderId="0"/>
    <xf numFmtId="0" fontId="5" fillId="0" borderId="0"/>
    <xf numFmtId="9" fontId="55" fillId="0" borderId="0" applyFont="0" applyFill="0" applyBorder="0" applyAlignment="0" applyProtection="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9" fontId="55" fillId="0" borderId="0" applyFont="0" applyFill="0" applyBorder="0" applyAlignment="0" applyProtection="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9" fontId="55" fillId="0" borderId="0" applyFont="0" applyFill="0" applyBorder="0" applyAlignment="0" applyProtection="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174"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9" fontId="55" fillId="0" borderId="0" applyFont="0" applyFill="0" applyBorder="0" applyAlignment="0" applyProtection="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9" fontId="55" fillId="0" borderId="0" applyFont="0" applyFill="0" applyBorder="0" applyAlignment="0" applyProtection="0"/>
    <xf numFmtId="174"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74"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74"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9" fontId="5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55" fillId="0" borderId="0"/>
    <xf numFmtId="174" fontId="3" fillId="0" borderId="0"/>
    <xf numFmtId="0"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174" fontId="3" fillId="0" borderId="0"/>
    <xf numFmtId="0" fontId="55"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174" fontId="3" fillId="0" borderId="0"/>
    <xf numFmtId="9"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9" fontId="55" fillId="0" borderId="0" applyFont="0" applyFill="0" applyBorder="0" applyAlignment="0" applyProtection="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174" fontId="3" fillId="0" borderId="0"/>
    <xf numFmtId="0" fontId="3" fillId="0" borderId="0"/>
    <xf numFmtId="174" fontId="3" fillId="0" borderId="0"/>
    <xf numFmtId="174" fontId="3" fillId="0" borderId="0"/>
    <xf numFmtId="0" fontId="3" fillId="0" borderId="0"/>
    <xf numFmtId="0" fontId="3" fillId="0" borderId="0"/>
    <xf numFmtId="0" fontId="3" fillId="0" borderId="0"/>
    <xf numFmtId="174" fontId="3" fillId="0" borderId="0"/>
    <xf numFmtId="0" fontId="3" fillId="0" borderId="0"/>
    <xf numFmtId="174" fontId="3" fillId="0" borderId="0"/>
    <xf numFmtId="9" fontId="55" fillId="0" borderId="0" applyFont="0" applyFill="0" applyBorder="0" applyAlignment="0" applyProtection="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43"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9" fontId="55" fillId="0" borderId="0" applyFont="0" applyFill="0" applyBorder="0" applyAlignment="0" applyProtection="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0"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174"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74" fontId="2" fillId="0" borderId="0"/>
    <xf numFmtId="0" fontId="2"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174" fontId="2" fillId="0" borderId="0"/>
    <xf numFmtId="43"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174" fontId="2" fillId="0" borderId="0"/>
    <xf numFmtId="0" fontId="55"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174" fontId="2"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23" borderId="7" applyNumberFormat="0" applyFont="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174" fontId="2" fillId="0" borderId="0"/>
    <xf numFmtId="0" fontId="2" fillId="0" borderId="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23" borderId="7" applyNumberFormat="0" applyFont="0" applyAlignment="0" applyProtection="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174" fontId="2"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43" fontId="55" fillId="0" borderId="0" applyFont="0" applyFill="0" applyBorder="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2" fillId="0" borderId="0"/>
    <xf numFmtId="174"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55" fillId="23" borderId="7" applyNumberFormat="0" applyFont="0" applyAlignment="0" applyProtection="0"/>
    <xf numFmtId="174" fontId="2" fillId="0" borderId="0"/>
    <xf numFmtId="0" fontId="2" fillId="0" borderId="0"/>
    <xf numFmtId="0" fontId="55" fillId="23" borderId="7" applyNumberFormat="0" applyFont="0" applyAlignment="0" applyProtection="0"/>
    <xf numFmtId="174" fontId="2" fillId="0" borderId="0"/>
    <xf numFmtId="43" fontId="55" fillId="0" borderId="0" applyFont="0" applyFill="0" applyBorder="0" applyAlignment="0" applyProtection="0"/>
    <xf numFmtId="0" fontId="55" fillId="0" borderId="0"/>
    <xf numFmtId="0" fontId="55" fillId="0" borderId="0"/>
    <xf numFmtId="174" fontId="2" fillId="0" borderId="0"/>
    <xf numFmtId="0" fontId="2" fillId="0" borderId="0"/>
    <xf numFmtId="9" fontId="55" fillId="0" borderId="0" applyFont="0" applyFill="0" applyBorder="0" applyAlignment="0" applyProtection="0"/>
    <xf numFmtId="0" fontId="55" fillId="0" borderId="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174" fontId="2"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2" fillId="0" borderId="0"/>
    <xf numFmtId="0" fontId="55" fillId="0" borderId="0"/>
    <xf numFmtId="43"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23" borderId="7" applyNumberFormat="0" applyFont="0" applyAlignment="0" applyProtection="0"/>
    <xf numFmtId="0" fontId="2"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2"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174" fontId="2" fillId="0" borderId="0"/>
    <xf numFmtId="0" fontId="55" fillId="0" borderId="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2" fillId="0" borderId="0"/>
    <xf numFmtId="0" fontId="55" fillId="0" borderId="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0" fontId="2"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174"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0" borderId="0"/>
    <xf numFmtId="174" fontId="2"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174" fontId="2" fillId="0" borderId="0"/>
    <xf numFmtId="0" fontId="55" fillId="0" borderId="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9" fontId="55" fillId="0" borderId="0" applyFont="0" applyFill="0" applyBorder="0" applyAlignment="0" applyProtection="0"/>
    <xf numFmtId="174" fontId="2" fillId="0" borderId="0"/>
    <xf numFmtId="0" fontId="2"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174" fontId="2" fillId="0" borderId="0"/>
    <xf numFmtId="0" fontId="2" fillId="0" borderId="0"/>
    <xf numFmtId="43"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9" fontId="55" fillId="0" borderId="0" applyFont="0" applyFill="0" applyBorder="0" applyAlignment="0" applyProtection="0"/>
    <xf numFmtId="174" fontId="2" fillId="0" borderId="0"/>
    <xf numFmtId="0" fontId="2" fillId="0" borderId="0"/>
    <xf numFmtId="9" fontId="55" fillId="0" borderId="0" applyFont="0" applyFill="0" applyBorder="0" applyAlignment="0" applyProtection="0"/>
    <xf numFmtId="174" fontId="2" fillId="0" borderId="0"/>
    <xf numFmtId="43" fontId="55" fillId="0" borderId="0" applyFont="0" applyFill="0" applyBorder="0" applyAlignment="0" applyProtection="0"/>
    <xf numFmtId="0" fontId="55" fillId="0" borderId="0"/>
    <xf numFmtId="174" fontId="2" fillId="0" borderId="0"/>
    <xf numFmtId="0" fontId="2"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2"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43" fontId="55" fillId="0" borderId="0" applyFont="0" applyFill="0" applyBorder="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174"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2" fillId="0" borderId="0"/>
    <xf numFmtId="0" fontId="55" fillId="0" borderId="0"/>
    <xf numFmtId="0" fontId="2"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174" fontId="2" fillId="0" borderId="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174"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174"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174"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174" fontId="2" fillId="0" borderId="0"/>
    <xf numFmtId="0" fontId="55" fillId="0" borderId="0"/>
    <xf numFmtId="0" fontId="2"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174" fontId="2"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2" fillId="0" borderId="0"/>
    <xf numFmtId="0" fontId="2"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cellStyleXfs>
  <cellXfs count="1371">
    <xf numFmtId="0" fontId="0" fillId="0" borderId="0" xfId="0"/>
    <xf numFmtId="0" fontId="20" fillId="0" borderId="0" xfId="0" applyFont="1"/>
    <xf numFmtId="0" fontId="17" fillId="0" borderId="0" xfId="0" applyFont="1" applyProtection="1"/>
    <xf numFmtId="0" fontId="21" fillId="0" borderId="10" xfId="0" applyFont="1" applyFill="1" applyBorder="1" applyAlignment="1"/>
    <xf numFmtId="0" fontId="22" fillId="0" borderId="11" xfId="0" applyFont="1" applyBorder="1" applyAlignment="1"/>
    <xf numFmtId="0" fontId="22" fillId="0" borderId="0" xfId="0" applyFont="1"/>
    <xf numFmtId="0" fontId="23" fillId="0" borderId="12" xfId="0" applyFont="1" applyFill="1" applyBorder="1" applyAlignment="1">
      <alignment vertical="center" wrapText="1"/>
    </xf>
    <xf numFmtId="0" fontId="23" fillId="0" borderId="13" xfId="0" applyFont="1" applyFill="1" applyBorder="1" applyAlignment="1">
      <alignment vertical="center" wrapText="1"/>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wrapText="1"/>
    </xf>
    <xf numFmtId="0" fontId="23" fillId="0" borderId="16" xfId="0" applyFont="1" applyFill="1" applyBorder="1" applyAlignment="1">
      <alignment horizontal="center" vertical="center" wrapText="1"/>
    </xf>
    <xf numFmtId="9" fontId="23" fillId="0" borderId="16" xfId="43" applyFont="1" applyFill="1" applyBorder="1" applyAlignment="1">
      <alignment horizontal="center" vertical="center" wrapText="1"/>
    </xf>
    <xf numFmtId="9" fontId="23" fillId="0" borderId="17" xfId="43" applyFont="1" applyFill="1" applyBorder="1" applyAlignment="1">
      <alignment horizontal="center" vertical="center" wrapText="1"/>
    </xf>
    <xf numFmtId="9" fontId="23" fillId="0" borderId="18" xfId="43"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3" fillId="0" borderId="23" xfId="0" applyFont="1" applyFill="1" applyBorder="1" applyAlignment="1">
      <alignment horizontal="left" vertical="center"/>
    </xf>
    <xf numFmtId="0" fontId="22" fillId="0" borderId="24" xfId="0" applyFont="1" applyFill="1" applyBorder="1" applyAlignment="1">
      <alignment horizontal="center" vertical="center"/>
    </xf>
    <xf numFmtId="0" fontId="22" fillId="0" borderId="25" xfId="0" applyFont="1" applyBorder="1" applyAlignment="1">
      <alignment horizontal="center"/>
    </xf>
    <xf numFmtId="0" fontId="22" fillId="0" borderId="25" xfId="0" applyFont="1" applyFill="1" applyBorder="1" applyAlignment="1">
      <alignment horizontal="center" vertical="center"/>
    </xf>
    <xf numFmtId="9" fontId="22" fillId="0" borderId="25" xfId="43" applyFont="1" applyFill="1" applyBorder="1" applyAlignment="1">
      <alignment horizontal="center" vertical="center"/>
    </xf>
    <xf numFmtId="9" fontId="22" fillId="0" borderId="26" xfId="43" applyFont="1" applyFill="1" applyBorder="1" applyAlignment="1">
      <alignment horizontal="center" vertical="center"/>
    </xf>
    <xf numFmtId="9" fontId="22" fillId="0" borderId="27" xfId="43" applyFont="1" applyFill="1" applyBorder="1" applyAlignment="1">
      <alignment horizontal="center" vertical="center"/>
    </xf>
    <xf numFmtId="0" fontId="24" fillId="0" borderId="28" xfId="0" applyFont="1" applyFill="1" applyBorder="1"/>
    <xf numFmtId="170" fontId="22" fillId="0" borderId="29" xfId="0" applyNumberFormat="1" applyFont="1" applyFill="1" applyBorder="1"/>
    <xf numFmtId="170" fontId="22" fillId="0" borderId="30" xfId="0" applyNumberFormat="1" applyFont="1" applyBorder="1"/>
    <xf numFmtId="170" fontId="22" fillId="0" borderId="31" xfId="0" applyNumberFormat="1" applyFont="1" applyBorder="1"/>
    <xf numFmtId="170" fontId="22" fillId="0" borderId="32" xfId="0" applyNumberFormat="1" applyFont="1" applyBorder="1"/>
    <xf numFmtId="0" fontId="22" fillId="0" borderId="10" xfId="0" applyFont="1" applyFill="1" applyBorder="1" applyAlignment="1">
      <alignment horizontal="left" indent="1"/>
    </xf>
    <xf numFmtId="170" fontId="22" fillId="0" borderId="19" xfId="0" applyNumberFormat="1" applyFont="1" applyBorder="1"/>
    <xf numFmtId="170" fontId="22" fillId="0" borderId="20" xfId="0" applyNumberFormat="1" applyFont="1" applyBorder="1"/>
    <xf numFmtId="170" fontId="22" fillId="0" borderId="21" xfId="0" applyNumberFormat="1" applyFont="1" applyBorder="1"/>
    <xf numFmtId="170" fontId="22" fillId="0" borderId="22" xfId="0" applyNumberFormat="1" applyFont="1" applyBorder="1"/>
    <xf numFmtId="170" fontId="22" fillId="0" borderId="19" xfId="0" applyNumberFormat="1" applyFont="1" applyFill="1" applyBorder="1"/>
    <xf numFmtId="0" fontId="22" fillId="0" borderId="14" xfId="0" applyFont="1" applyFill="1" applyBorder="1" applyAlignment="1">
      <alignment horizontal="left" indent="1"/>
    </xf>
    <xf numFmtId="0" fontId="25" fillId="0" borderId="14" xfId="0" applyFont="1" applyFill="1" applyBorder="1"/>
    <xf numFmtId="0" fontId="23" fillId="0" borderId="14" xfId="0" applyFont="1" applyFill="1" applyBorder="1"/>
    <xf numFmtId="0" fontId="22" fillId="0" borderId="14" xfId="0" applyFont="1" applyFill="1" applyBorder="1"/>
    <xf numFmtId="0" fontId="23" fillId="0" borderId="14" xfId="0" applyFont="1" applyFill="1" applyBorder="1" applyAlignment="1">
      <alignment vertical="top" wrapText="1"/>
    </xf>
    <xf numFmtId="0" fontId="22" fillId="0" borderId="10" xfId="0" applyFont="1" applyFill="1" applyBorder="1" applyAlignment="1">
      <alignment horizontal="left" wrapText="1" indent="1"/>
    </xf>
    <xf numFmtId="0" fontId="22" fillId="0" borderId="23" xfId="0" applyFont="1" applyFill="1" applyBorder="1"/>
    <xf numFmtId="170" fontId="22" fillId="0" borderId="24" xfId="0" applyNumberFormat="1" applyFont="1" applyBorder="1"/>
    <xf numFmtId="170" fontId="22" fillId="0" borderId="25" xfId="0" applyNumberFormat="1" applyFont="1" applyBorder="1"/>
    <xf numFmtId="170" fontId="22" fillId="0" borderId="26" xfId="0" applyNumberFormat="1" applyFont="1" applyBorder="1"/>
    <xf numFmtId="170" fontId="22" fillId="0" borderId="27" xfId="0" applyNumberFormat="1" applyFont="1" applyBorder="1"/>
    <xf numFmtId="170" fontId="22" fillId="0" borderId="29" xfId="0" applyNumberFormat="1" applyFont="1" applyBorder="1"/>
    <xf numFmtId="0" fontId="22" fillId="0" borderId="0" xfId="0" applyFont="1" applyBorder="1"/>
    <xf numFmtId="0" fontId="23" fillId="0" borderId="23" xfId="0" applyFont="1" applyFill="1" applyBorder="1"/>
    <xf numFmtId="0" fontId="22" fillId="0" borderId="10" xfId="0" applyFont="1" applyFill="1" applyBorder="1"/>
    <xf numFmtId="0" fontId="23" fillId="0" borderId="10" xfId="0" applyFont="1" applyFill="1" applyBorder="1"/>
    <xf numFmtId="0" fontId="24" fillId="0" borderId="10" xfId="0" applyFont="1" applyFill="1" applyBorder="1"/>
    <xf numFmtId="168" fontId="23" fillId="0" borderId="0" xfId="0" applyNumberFormat="1" applyFont="1" applyBorder="1"/>
    <xf numFmtId="0" fontId="22" fillId="0" borderId="0" xfId="0" applyFont="1" applyBorder="1" applyAlignment="1">
      <alignment vertical="top" wrapText="1"/>
    </xf>
    <xf numFmtId="0" fontId="22" fillId="0" borderId="10" xfId="0" applyFont="1" applyFill="1" applyBorder="1" applyAlignment="1">
      <alignment horizontal="left" indent="2"/>
    </xf>
    <xf numFmtId="170" fontId="22" fillId="0" borderId="24" xfId="0" applyNumberFormat="1" applyFont="1" applyFill="1" applyBorder="1"/>
    <xf numFmtId="0" fontId="21" fillId="0" borderId="0" xfId="0" applyFont="1" applyFill="1" applyBorder="1" applyAlignment="1">
      <alignment horizontal="left"/>
    </xf>
    <xf numFmtId="0" fontId="22" fillId="0" borderId="0" xfId="0" applyFont="1" applyAlignment="1">
      <alignment horizontal="center"/>
    </xf>
    <xf numFmtId="0" fontId="23" fillId="0" borderId="28" xfId="0" applyFont="1" applyFill="1" applyBorder="1" applyAlignment="1">
      <alignment horizontal="center" vertical="center"/>
    </xf>
    <xf numFmtId="0" fontId="23" fillId="0" borderId="33" xfId="0" applyFont="1" applyFill="1" applyBorder="1" applyAlignment="1">
      <alignment vertical="center" wrapText="1"/>
    </xf>
    <xf numFmtId="0" fontId="23" fillId="0" borderId="34" xfId="0" applyFont="1" applyFill="1" applyBorder="1" applyAlignment="1">
      <alignment vertical="center" wrapText="1"/>
    </xf>
    <xf numFmtId="0" fontId="23" fillId="0" borderId="3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6" fillId="0" borderId="10" xfId="0" applyFont="1" applyFill="1" applyBorder="1" applyAlignment="1">
      <alignment horizontal="center" vertical="center"/>
    </xf>
    <xf numFmtId="0" fontId="22" fillId="0" borderId="36" xfId="0" applyFont="1" applyFill="1" applyBorder="1" applyAlignment="1">
      <alignment horizontal="center" vertical="center" wrapText="1"/>
    </xf>
    <xf numFmtId="0" fontId="23" fillId="0" borderId="37" xfId="0" applyFont="1" applyFill="1" applyBorder="1" applyAlignment="1">
      <alignment horizontal="left" vertical="center"/>
    </xf>
    <xf numFmtId="0" fontId="22" fillId="0" borderId="38" xfId="0" applyFont="1" applyFill="1" applyBorder="1" applyAlignment="1">
      <alignment horizontal="center" vertical="center"/>
    </xf>
    <xf numFmtId="0" fontId="22" fillId="0" borderId="39" xfId="0" applyFont="1" applyBorder="1" applyAlignment="1">
      <alignment horizontal="center"/>
    </xf>
    <xf numFmtId="0" fontId="22" fillId="0" borderId="39" xfId="0" applyFont="1" applyFill="1" applyBorder="1" applyAlignment="1">
      <alignment horizontal="center" vertical="center"/>
    </xf>
    <xf numFmtId="9" fontId="22" fillId="0" borderId="39" xfId="43" applyFont="1" applyFill="1" applyBorder="1" applyAlignment="1">
      <alignment horizontal="center" vertical="center"/>
    </xf>
    <xf numFmtId="9" fontId="22" fillId="0" borderId="40" xfId="43" applyFont="1" applyFill="1" applyBorder="1" applyAlignment="1">
      <alignment horizontal="center" vertical="center"/>
    </xf>
    <xf numFmtId="0" fontId="24" fillId="0" borderId="14" xfId="0" applyFont="1" applyBorder="1"/>
    <xf numFmtId="0" fontId="22" fillId="0" borderId="14" xfId="0" applyFont="1" applyBorder="1" applyAlignment="1">
      <alignment horizontal="center"/>
    </xf>
    <xf numFmtId="171" fontId="22" fillId="0" borderId="36" xfId="0" applyNumberFormat="1" applyFont="1" applyBorder="1"/>
    <xf numFmtId="171" fontId="22" fillId="0" borderId="20" xfId="0" applyNumberFormat="1" applyFont="1" applyBorder="1"/>
    <xf numFmtId="171" fontId="22" fillId="0" borderId="22" xfId="0" applyNumberFormat="1" applyFont="1" applyBorder="1"/>
    <xf numFmtId="0" fontId="23" fillId="0" borderId="0" xfId="0" applyFont="1" applyBorder="1" applyAlignment="1">
      <alignment horizontal="center"/>
    </xf>
    <xf numFmtId="0" fontId="23" fillId="0" borderId="41" xfId="0" applyFont="1" applyBorder="1"/>
    <xf numFmtId="0" fontId="22" fillId="0" borderId="41" xfId="0" applyFont="1" applyBorder="1" applyAlignment="1">
      <alignment horizontal="center"/>
    </xf>
    <xf numFmtId="171" fontId="23" fillId="0" borderId="42" xfId="0" applyNumberFormat="1" applyFont="1" applyBorder="1"/>
    <xf numFmtId="171" fontId="23" fillId="0" borderId="43" xfId="0" applyNumberFormat="1" applyFont="1" applyBorder="1"/>
    <xf numFmtId="171" fontId="23" fillId="0" borderId="44" xfId="0" applyNumberFormat="1" applyFont="1" applyBorder="1"/>
    <xf numFmtId="0" fontId="22" fillId="0" borderId="14" xfId="0" applyFont="1" applyBorder="1"/>
    <xf numFmtId="168" fontId="22" fillId="0" borderId="0" xfId="0" applyNumberFormat="1" applyFont="1" applyBorder="1"/>
    <xf numFmtId="0" fontId="22" fillId="0" borderId="14" xfId="0" applyFont="1" applyBorder="1" applyAlignment="1">
      <alignment horizontal="left" indent="1"/>
    </xf>
    <xf numFmtId="168" fontId="22" fillId="0" borderId="0" xfId="0" applyNumberFormat="1" applyFont="1" applyFill="1" applyBorder="1"/>
    <xf numFmtId="0" fontId="23" fillId="0" borderId="45" xfId="0" applyFont="1" applyBorder="1"/>
    <xf numFmtId="0" fontId="22" fillId="0" borderId="45" xfId="0" applyFont="1" applyBorder="1" applyAlignment="1">
      <alignment horizontal="center"/>
    </xf>
    <xf numFmtId="171" fontId="23" fillId="0" borderId="24" xfId="0" applyNumberFormat="1" applyFont="1" applyBorder="1"/>
    <xf numFmtId="171" fontId="23" fillId="0" borderId="25" xfId="0" applyNumberFormat="1" applyFont="1" applyBorder="1"/>
    <xf numFmtId="171" fontId="23" fillId="0" borderId="27" xfId="0" applyNumberFormat="1" applyFont="1" applyBorder="1"/>
    <xf numFmtId="0" fontId="27" fillId="0" borderId="46" xfId="0" applyFont="1" applyBorder="1"/>
    <xf numFmtId="0" fontId="26" fillId="0" borderId="0" xfId="0" applyFont="1" applyBorder="1" applyAlignment="1">
      <alignment horizontal="center"/>
    </xf>
    <xf numFmtId="168" fontId="25" fillId="0" borderId="0" xfId="0" applyNumberFormat="1" applyFont="1" applyFill="1" applyBorder="1"/>
    <xf numFmtId="0" fontId="26" fillId="0" borderId="0" xfId="0" quotePrefix="1" applyFont="1" applyBorder="1"/>
    <xf numFmtId="168" fontId="25" fillId="0" borderId="0" xfId="0" applyNumberFormat="1" applyFont="1" applyBorder="1"/>
    <xf numFmtId="0" fontId="26" fillId="0" borderId="0" xfId="0" applyFont="1" applyBorder="1" applyAlignment="1">
      <alignment horizontal="left"/>
    </xf>
    <xf numFmtId="0" fontId="26" fillId="0" borderId="0" xfId="0" applyFont="1" applyBorder="1" applyAlignment="1">
      <alignment horizontal="left" vertical="top" wrapText="1"/>
    </xf>
    <xf numFmtId="0" fontId="26" fillId="0" borderId="0" xfId="0" applyFont="1" applyBorder="1"/>
    <xf numFmtId="0" fontId="26" fillId="0" borderId="0" xfId="0" applyFont="1" applyBorder="1" applyAlignment="1">
      <alignment vertical="top" wrapText="1"/>
    </xf>
    <xf numFmtId="0" fontId="26" fillId="0" borderId="0" xfId="0" applyFont="1" applyBorder="1" applyAlignment="1">
      <alignment horizontal="right"/>
    </xf>
    <xf numFmtId="165" fontId="22" fillId="0" borderId="0" xfId="29" applyNumberFormat="1" applyFont="1"/>
    <xf numFmtId="0" fontId="23" fillId="0" borderId="47" xfId="0" applyFont="1" applyFill="1" applyBorder="1" applyAlignment="1">
      <alignment vertical="center" wrapText="1"/>
    </xf>
    <xf numFmtId="0" fontId="22" fillId="0" borderId="48" xfId="0" applyFont="1" applyFill="1" applyBorder="1" applyAlignment="1">
      <alignment horizontal="center" vertical="center"/>
    </xf>
    <xf numFmtId="0" fontId="22" fillId="0" borderId="49" xfId="0" applyFont="1" applyBorder="1" applyAlignment="1">
      <alignment horizontal="center"/>
    </xf>
    <xf numFmtId="171" fontId="22" fillId="0" borderId="15" xfId="0" applyNumberFormat="1" applyFont="1" applyBorder="1"/>
    <xf numFmtId="0" fontId="25" fillId="0" borderId="10" xfId="0" applyNumberFormat="1" applyFont="1" applyFill="1" applyBorder="1" applyAlignment="1" applyProtection="1">
      <alignment horizontal="left" indent="1"/>
    </xf>
    <xf numFmtId="0" fontId="22" fillId="0" borderId="10" xfId="0" applyNumberFormat="1" applyFont="1" applyFill="1" applyBorder="1" applyAlignment="1" applyProtection="1">
      <alignment horizontal="left" indent="2"/>
    </xf>
    <xf numFmtId="171" fontId="22" fillId="24" borderId="20" xfId="0" applyNumberFormat="1" applyFont="1" applyFill="1" applyBorder="1" applyProtection="1">
      <protection locked="0"/>
    </xf>
    <xf numFmtId="171" fontId="22" fillId="24" borderId="22" xfId="0" applyNumberFormat="1" applyFont="1" applyFill="1" applyBorder="1" applyProtection="1">
      <protection locked="0"/>
    </xf>
    <xf numFmtId="171" fontId="22" fillId="24" borderId="20" xfId="29" applyNumberFormat="1" applyFont="1" applyFill="1" applyBorder="1" applyProtection="1">
      <protection locked="0"/>
    </xf>
    <xf numFmtId="171" fontId="22" fillId="24" borderId="40" xfId="0" applyNumberFormat="1" applyFont="1" applyFill="1" applyBorder="1" applyProtection="1">
      <protection locked="0"/>
    </xf>
    <xf numFmtId="171" fontId="23" fillId="25" borderId="42" xfId="0" applyNumberFormat="1" applyFont="1" applyFill="1" applyBorder="1"/>
    <xf numFmtId="0" fontId="28" fillId="0" borderId="14" xfId="0" applyFont="1" applyBorder="1" applyAlignment="1">
      <alignment horizontal="center"/>
    </xf>
    <xf numFmtId="171" fontId="23" fillId="0" borderId="50" xfId="0" applyNumberFormat="1" applyFont="1" applyBorder="1"/>
    <xf numFmtId="171" fontId="23" fillId="0" borderId="51" xfId="0" applyNumberFormat="1" applyFont="1" applyBorder="1"/>
    <xf numFmtId="171" fontId="23" fillId="0" borderId="52" xfId="0" applyNumberFormat="1" applyFont="1" applyBorder="1"/>
    <xf numFmtId="0" fontId="27" fillId="0" borderId="0" xfId="0" applyFont="1" applyBorder="1" applyAlignment="1">
      <alignment horizontal="left"/>
    </xf>
    <xf numFmtId="0" fontId="26" fillId="0" borderId="0" xfId="0" applyFont="1" applyBorder="1" applyProtection="1"/>
    <xf numFmtId="0" fontId="22" fillId="0" borderId="0" xfId="0" applyFont="1" applyBorder="1" applyAlignment="1">
      <alignment horizontal="center"/>
    </xf>
    <xf numFmtId="0" fontId="26" fillId="0" borderId="10" xfId="0" applyFont="1" applyBorder="1" applyAlignment="1">
      <alignment horizontal="right"/>
    </xf>
    <xf numFmtId="165" fontId="26" fillId="0" borderId="0" xfId="29" applyNumberFormat="1" applyFont="1" applyBorder="1" applyAlignment="1">
      <alignment horizontal="right"/>
    </xf>
    <xf numFmtId="0" fontId="22" fillId="0" borderId="45" xfId="0" applyFont="1" applyFill="1" applyBorder="1" applyAlignment="1">
      <alignment horizontal="center" vertical="center"/>
    </xf>
    <xf numFmtId="0" fontId="22" fillId="0" borderId="53" xfId="0" applyFont="1" applyFill="1" applyBorder="1" applyAlignment="1">
      <alignment horizontal="center" vertical="center"/>
    </xf>
    <xf numFmtId="0" fontId="24" fillId="0" borderId="10" xfId="0" applyFont="1" applyBorder="1"/>
    <xf numFmtId="171" fontId="22" fillId="0" borderId="36" xfId="0" applyNumberFormat="1" applyFont="1" applyFill="1" applyBorder="1"/>
    <xf numFmtId="0" fontId="22" fillId="0" borderId="0" xfId="0" applyFont="1" applyFill="1"/>
    <xf numFmtId="0" fontId="22" fillId="0" borderId="10" xfId="0" applyFont="1" applyBorder="1" applyAlignment="1">
      <alignment horizontal="left" indent="1"/>
    </xf>
    <xf numFmtId="171" fontId="22" fillId="24" borderId="36" xfId="0" applyNumberFormat="1" applyFont="1" applyFill="1" applyBorder="1" applyProtection="1">
      <protection locked="0"/>
    </xf>
    <xf numFmtId="171" fontId="22" fillId="0" borderId="36" xfId="0" applyNumberFormat="1" applyFont="1" applyFill="1" applyBorder="1" applyProtection="1"/>
    <xf numFmtId="171" fontId="22" fillId="0" borderId="20" xfId="0" applyNumberFormat="1" applyFont="1" applyFill="1" applyBorder="1" applyProtection="1"/>
    <xf numFmtId="171" fontId="22" fillId="0" borderId="22" xfId="0" applyNumberFormat="1" applyFont="1" applyFill="1" applyBorder="1" applyProtection="1"/>
    <xf numFmtId="168" fontId="22" fillId="0" borderId="0" xfId="0" applyNumberFormat="1" applyFont="1" applyFill="1"/>
    <xf numFmtId="0" fontId="23" fillId="0" borderId="10" xfId="0" applyFont="1" applyBorder="1" applyAlignment="1">
      <alignment wrapText="1"/>
    </xf>
    <xf numFmtId="0" fontId="22" fillId="0" borderId="10" xfId="0" applyFont="1" applyBorder="1"/>
    <xf numFmtId="0" fontId="22" fillId="0" borderId="14" xfId="0" applyFont="1" applyFill="1" applyBorder="1" applyAlignment="1">
      <alignment horizontal="center"/>
    </xf>
    <xf numFmtId="171" fontId="22" fillId="0" borderId="20" xfId="0" applyNumberFormat="1" applyFont="1" applyBorder="1" applyProtection="1"/>
    <xf numFmtId="0" fontId="23" fillId="0" borderId="10" xfId="0" applyFont="1" applyBorder="1"/>
    <xf numFmtId="171" fontId="23" fillId="0" borderId="36" xfId="0" applyNumberFormat="1" applyFont="1" applyBorder="1"/>
    <xf numFmtId="171" fontId="23" fillId="0" borderId="20" xfId="0" applyNumberFormat="1" applyFont="1" applyBorder="1"/>
    <xf numFmtId="171" fontId="23" fillId="0" borderId="22" xfId="0" applyNumberFormat="1" applyFont="1" applyBorder="1"/>
    <xf numFmtId="171" fontId="22" fillId="24" borderId="38" xfId="0" applyNumberFormat="1" applyFont="1" applyFill="1" applyBorder="1" applyProtection="1">
      <protection locked="0"/>
    </xf>
    <xf numFmtId="171" fontId="22" fillId="24" borderId="39" xfId="0" applyNumberFormat="1" applyFont="1" applyFill="1" applyBorder="1" applyProtection="1">
      <protection locked="0"/>
    </xf>
    <xf numFmtId="171" fontId="22" fillId="0" borderId="39" xfId="0" applyNumberFormat="1" applyFont="1" applyBorder="1"/>
    <xf numFmtId="171" fontId="23" fillId="0" borderId="36" xfId="0" applyNumberFormat="1" applyFont="1" applyBorder="1" applyAlignment="1">
      <alignment vertical="top"/>
    </xf>
    <xf numFmtId="171" fontId="23" fillId="0" borderId="20" xfId="0" applyNumberFormat="1" applyFont="1" applyBorder="1" applyAlignment="1">
      <alignment vertical="top"/>
    </xf>
    <xf numFmtId="171" fontId="23" fillId="0" borderId="22" xfId="0" applyNumberFormat="1" applyFont="1" applyBorder="1" applyAlignment="1">
      <alignment vertical="top"/>
    </xf>
    <xf numFmtId="0" fontId="23" fillId="0" borderId="14" xfId="0" applyFont="1" applyBorder="1" applyAlignment="1">
      <alignment horizontal="center"/>
    </xf>
    <xf numFmtId="171" fontId="23" fillId="0" borderId="35" xfId="0" applyNumberFormat="1" applyFont="1" applyBorder="1"/>
    <xf numFmtId="171" fontId="23" fillId="0" borderId="16" xfId="0" applyNumberFormat="1" applyFont="1" applyBorder="1"/>
    <xf numFmtId="171" fontId="23" fillId="0" borderId="18" xfId="0" applyNumberFormat="1" applyFont="1" applyBorder="1"/>
    <xf numFmtId="0" fontId="22" fillId="0" borderId="37" xfId="0" applyFont="1" applyBorder="1" applyAlignment="1">
      <alignment horizontal="left" wrapText="1" indent="1"/>
    </xf>
    <xf numFmtId="0" fontId="22" fillId="0" borderId="48" xfId="0" applyFont="1" applyBorder="1" applyAlignment="1">
      <alignment horizontal="center"/>
    </xf>
    <xf numFmtId="0" fontId="23" fillId="0" borderId="54" xfId="0" applyFont="1" applyBorder="1"/>
    <xf numFmtId="0" fontId="22" fillId="0" borderId="55" xfId="0" applyFont="1" applyBorder="1" applyAlignment="1">
      <alignment horizontal="center"/>
    </xf>
    <xf numFmtId="171" fontId="23" fillId="0" borderId="56" xfId="0" applyNumberFormat="1" applyFont="1" applyBorder="1"/>
    <xf numFmtId="0" fontId="27" fillId="0" borderId="0" xfId="0" applyFont="1" applyBorder="1"/>
    <xf numFmtId="0" fontId="26" fillId="0" borderId="0" xfId="0" applyFont="1" applyFill="1" applyBorder="1"/>
    <xf numFmtId="0" fontId="26" fillId="0" borderId="0" xfId="0" applyFont="1" applyFill="1" applyBorder="1" applyAlignment="1">
      <alignment horizontal="center"/>
    </xf>
    <xf numFmtId="0" fontId="22" fillId="0" borderId="0" xfId="0" applyFont="1" applyBorder="1" applyAlignment="1">
      <alignment horizontal="left" vertical="top" wrapText="1"/>
    </xf>
    <xf numFmtId="0" fontId="23" fillId="0" borderId="48" xfId="0" applyFont="1" applyBorder="1"/>
    <xf numFmtId="0" fontId="23" fillId="0" borderId="57" xfId="0" applyFont="1" applyBorder="1"/>
    <xf numFmtId="0" fontId="22" fillId="0" borderId="10" xfId="0" applyFont="1" applyBorder="1" applyAlignment="1">
      <alignment horizontal="left" indent="2"/>
    </xf>
    <xf numFmtId="0" fontId="23" fillId="0" borderId="10" xfId="0" applyFont="1" applyFill="1" applyBorder="1" applyAlignment="1">
      <alignment horizontal="left" indent="1"/>
    </xf>
    <xf numFmtId="0" fontId="23" fillId="0" borderId="10" xfId="0" applyFont="1" applyBorder="1" applyAlignment="1">
      <alignment horizontal="left" indent="1"/>
    </xf>
    <xf numFmtId="0" fontId="26" fillId="0" borderId="0" xfId="0" quotePrefix="1" applyFont="1" applyBorder="1" applyAlignment="1">
      <alignment horizontal="left" wrapText="1"/>
    </xf>
    <xf numFmtId="43" fontId="22" fillId="0" borderId="0" xfId="29" applyFont="1"/>
    <xf numFmtId="168" fontId="22" fillId="0" borderId="0" xfId="0" applyNumberFormat="1" applyFont="1"/>
    <xf numFmtId="0" fontId="23" fillId="0" borderId="33" xfId="0" applyFont="1" applyFill="1" applyBorder="1" applyAlignment="1">
      <alignment horizontal="centerContinuous" vertical="center" wrapText="1"/>
    </xf>
    <xf numFmtId="0" fontId="23" fillId="0" borderId="34" xfId="0" applyFont="1" applyFill="1" applyBorder="1" applyAlignment="1">
      <alignment horizontal="centerContinuous" vertical="center" wrapText="1"/>
    </xf>
    <xf numFmtId="171" fontId="22" fillId="0" borderId="20" xfId="0" applyNumberFormat="1" applyFont="1" applyFill="1" applyBorder="1"/>
    <xf numFmtId="171" fontId="22" fillId="0" borderId="36" xfId="0" applyNumberFormat="1" applyFont="1" applyFill="1" applyBorder="1" applyProtection="1">
      <protection locked="0"/>
    </xf>
    <xf numFmtId="171" fontId="22" fillId="0" borderId="20" xfId="0" applyNumberFormat="1" applyFont="1" applyFill="1" applyBorder="1" applyProtection="1">
      <protection locked="0"/>
    </xf>
    <xf numFmtId="171" fontId="22" fillId="0" borderId="22" xfId="0" applyNumberFormat="1" applyFont="1" applyFill="1" applyBorder="1" applyProtection="1">
      <protection locked="0"/>
    </xf>
    <xf numFmtId="0" fontId="22" fillId="0" borderId="23" xfId="0" applyFont="1" applyBorder="1" applyAlignment="1">
      <alignment horizontal="left" indent="1"/>
    </xf>
    <xf numFmtId="171" fontId="22" fillId="0" borderId="53" xfId="0" applyNumberFormat="1" applyFont="1" applyBorder="1"/>
    <xf numFmtId="171" fontId="22" fillId="0" borderId="25" xfId="0" applyNumberFormat="1" applyFont="1" applyBorder="1"/>
    <xf numFmtId="171" fontId="22" fillId="0" borderId="27" xfId="0" applyNumberFormat="1" applyFont="1" applyBorder="1"/>
    <xf numFmtId="171" fontId="26" fillId="0" borderId="0" xfId="0" applyNumberFormat="1" applyFont="1" applyBorder="1"/>
    <xf numFmtId="43" fontId="26" fillId="0" borderId="0" xfId="29" applyFont="1" applyBorder="1" applyAlignment="1">
      <alignment horizontal="right"/>
    </xf>
    <xf numFmtId="43" fontId="22" fillId="0" borderId="0" xfId="29" applyFont="1" applyBorder="1"/>
    <xf numFmtId="3" fontId="22" fillId="0" borderId="0" xfId="0" applyNumberFormat="1" applyFont="1" applyBorder="1"/>
    <xf numFmtId="0" fontId="21" fillId="0" borderId="0" xfId="0" applyFont="1" applyFill="1" applyBorder="1" applyAlignment="1" applyProtection="1">
      <alignment horizontal="left"/>
    </xf>
    <xf numFmtId="0" fontId="22" fillId="0" borderId="0" xfId="0" applyFont="1" applyProtection="1"/>
    <xf numFmtId="0" fontId="22" fillId="0" borderId="0" xfId="0" applyFont="1" applyAlignment="1" applyProtection="1">
      <alignment horizontal="center"/>
    </xf>
    <xf numFmtId="0" fontId="23" fillId="0" borderId="47" xfId="0" applyFont="1" applyFill="1" applyBorder="1" applyAlignment="1" applyProtection="1">
      <alignment vertical="center" wrapText="1"/>
    </xf>
    <xf numFmtId="0" fontId="23" fillId="0" borderId="34" xfId="0" applyFont="1" applyFill="1" applyBorder="1" applyAlignment="1" applyProtection="1">
      <alignment vertical="center" wrapText="1"/>
    </xf>
    <xf numFmtId="0" fontId="23" fillId="0" borderId="35"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wrapText="1"/>
    </xf>
    <xf numFmtId="9" fontId="23" fillId="0" borderId="16" xfId="43" applyFont="1" applyFill="1" applyBorder="1" applyAlignment="1" applyProtection="1">
      <alignment horizontal="center" vertical="center" wrapText="1"/>
    </xf>
    <xf numFmtId="9" fontId="23" fillId="0" borderId="18" xfId="43" applyFont="1" applyFill="1" applyBorder="1" applyAlignment="1" applyProtection="1">
      <alignment horizontal="center" vertical="center" wrapText="1"/>
    </xf>
    <xf numFmtId="0" fontId="22" fillId="0" borderId="36" xfId="0"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wrapText="1"/>
    </xf>
    <xf numFmtId="0" fontId="22" fillId="0" borderId="22" xfId="0" applyFont="1" applyFill="1" applyBorder="1" applyAlignment="1" applyProtection="1">
      <alignment horizontal="center" vertical="center" wrapText="1"/>
    </xf>
    <xf numFmtId="0" fontId="23" fillId="0" borderId="48" xfId="0" applyFont="1" applyFill="1" applyBorder="1" applyAlignment="1" applyProtection="1">
      <alignment horizontal="left" vertical="center"/>
    </xf>
    <xf numFmtId="0" fontId="22" fillId="0" borderId="48"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22" fillId="0" borderId="39" xfId="0" applyFont="1" applyBorder="1" applyAlignment="1" applyProtection="1">
      <alignment horizontal="center"/>
    </xf>
    <xf numFmtId="0" fontId="22" fillId="0" borderId="39" xfId="0" applyFont="1" applyFill="1" applyBorder="1" applyAlignment="1" applyProtection="1">
      <alignment horizontal="center" vertical="center"/>
    </xf>
    <xf numFmtId="9" fontId="22" fillId="0" borderId="39" xfId="43" applyFont="1" applyFill="1" applyBorder="1" applyAlignment="1" applyProtection="1">
      <alignment horizontal="center" vertical="center"/>
    </xf>
    <xf numFmtId="9" fontId="22" fillId="0" borderId="40" xfId="43" applyFont="1" applyFill="1" applyBorder="1" applyAlignment="1" applyProtection="1">
      <alignment horizontal="center" vertical="center"/>
    </xf>
    <xf numFmtId="0" fontId="24" fillId="0" borderId="14" xfId="0" applyFont="1" applyBorder="1" applyProtection="1"/>
    <xf numFmtId="0" fontId="22" fillId="0" borderId="14" xfId="0" applyFont="1" applyFill="1" applyBorder="1" applyAlignment="1" applyProtection="1">
      <alignment horizontal="center"/>
    </xf>
    <xf numFmtId="171" fontId="22" fillId="0" borderId="36" xfId="0" applyNumberFormat="1" applyFont="1" applyBorder="1" applyProtection="1"/>
    <xf numFmtId="171" fontId="22" fillId="0" borderId="22" xfId="0" applyNumberFormat="1" applyFont="1" applyBorder="1" applyProtection="1"/>
    <xf numFmtId="0" fontId="22" fillId="0" borderId="14" xfId="0" applyFont="1" applyBorder="1" applyAlignment="1" applyProtection="1">
      <alignment horizontal="left" indent="1"/>
    </xf>
    <xf numFmtId="0" fontId="23" fillId="0" borderId="41" xfId="0" applyFont="1" applyBorder="1" applyProtection="1"/>
    <xf numFmtId="0" fontId="22" fillId="0" borderId="41" xfId="0" applyFont="1" applyBorder="1" applyAlignment="1" applyProtection="1">
      <alignment horizontal="center"/>
    </xf>
    <xf numFmtId="171" fontId="23" fillId="0" borderId="42" xfId="0" applyNumberFormat="1" applyFont="1" applyBorder="1" applyProtection="1"/>
    <xf numFmtId="171" fontId="23" fillId="0" borderId="43" xfId="0" applyNumberFormat="1" applyFont="1" applyBorder="1" applyProtection="1"/>
    <xf numFmtId="171" fontId="23" fillId="0" borderId="44" xfId="0" applyNumberFormat="1" applyFont="1" applyBorder="1" applyProtection="1"/>
    <xf numFmtId="0" fontId="22" fillId="0" borderId="14" xfId="0" applyFont="1" applyBorder="1" applyProtection="1"/>
    <xf numFmtId="0" fontId="23" fillId="0" borderId="55" xfId="0" applyFont="1" applyBorder="1" applyProtection="1"/>
    <xf numFmtId="0" fontId="22" fillId="0" borderId="55" xfId="0" applyFont="1" applyBorder="1" applyAlignment="1" applyProtection="1">
      <alignment horizontal="center"/>
    </xf>
    <xf numFmtId="171" fontId="23" fillId="0" borderId="56" xfId="0" applyNumberFormat="1" applyFont="1" applyBorder="1" applyProtection="1"/>
    <xf numFmtId="171" fontId="23" fillId="0" borderId="51" xfId="0" applyNumberFormat="1" applyFont="1" applyBorder="1" applyProtection="1"/>
    <xf numFmtId="171" fontId="23" fillId="0" borderId="52" xfId="0" applyNumberFormat="1" applyFont="1" applyBorder="1" applyProtection="1"/>
    <xf numFmtId="0" fontId="27" fillId="0" borderId="0" xfId="0" applyFont="1" applyBorder="1" applyProtection="1"/>
    <xf numFmtId="168" fontId="26" fillId="0" borderId="0" xfId="0" applyNumberFormat="1" applyFont="1" applyBorder="1" applyProtection="1"/>
    <xf numFmtId="0" fontId="22" fillId="0" borderId="0" xfId="0" applyFont="1" applyBorder="1" applyProtection="1"/>
    <xf numFmtId="0" fontId="26" fillId="0" borderId="0" xfId="0" quotePrefix="1" applyFont="1" applyFill="1" applyBorder="1" applyProtection="1"/>
    <xf numFmtId="0" fontId="28" fillId="0" borderId="0" xfId="0" applyFont="1" applyFill="1" applyBorder="1" applyProtection="1"/>
    <xf numFmtId="0" fontId="30" fillId="0" borderId="0" xfId="0" applyFont="1" applyProtection="1"/>
    <xf numFmtId="168" fontId="22" fillId="0" borderId="0" xfId="0" applyNumberFormat="1" applyFont="1" applyFill="1" applyBorder="1" applyProtection="1"/>
    <xf numFmtId="0" fontId="22" fillId="0" borderId="0" xfId="0" applyFont="1" applyFill="1" applyBorder="1" applyProtection="1"/>
    <xf numFmtId="9" fontId="22" fillId="0" borderId="0" xfId="43" applyFont="1" applyBorder="1" applyAlignment="1" applyProtection="1">
      <alignment horizontal="center"/>
    </xf>
    <xf numFmtId="0" fontId="27" fillId="0" borderId="0" xfId="0" applyFont="1" applyFill="1" applyBorder="1" applyProtection="1"/>
    <xf numFmtId="0" fontId="28" fillId="0" borderId="0" xfId="0" applyFont="1" applyBorder="1" applyProtection="1"/>
    <xf numFmtId="0" fontId="22" fillId="0" borderId="0" xfId="0" applyFont="1" applyFill="1" applyBorder="1" applyProtection="1">
      <protection locked="0"/>
    </xf>
    <xf numFmtId="168" fontId="22" fillId="24" borderId="0" xfId="0" applyNumberFormat="1" applyFont="1" applyFill="1" applyBorder="1" applyProtection="1">
      <protection locked="0"/>
    </xf>
    <xf numFmtId="0" fontId="22" fillId="24" borderId="0" xfId="0" applyFont="1" applyFill="1" applyBorder="1" applyProtection="1">
      <protection locked="0"/>
    </xf>
    <xf numFmtId="0" fontId="22" fillId="0" borderId="0" xfId="0" applyFont="1" applyBorder="1" applyAlignment="1" applyProtection="1">
      <alignment horizontal="center"/>
    </xf>
    <xf numFmtId="0" fontId="24" fillId="0" borderId="10" xfId="0" applyFont="1" applyBorder="1" applyAlignment="1">
      <alignment horizontal="left" indent="1"/>
    </xf>
    <xf numFmtId="0" fontId="24" fillId="0" borderId="10" xfId="0" applyNumberFormat="1" applyFont="1" applyFill="1" applyBorder="1" applyAlignment="1">
      <alignment horizontal="left" indent="1"/>
    </xf>
    <xf numFmtId="171" fontId="22" fillId="0" borderId="22" xfId="0" applyNumberFormat="1" applyFont="1" applyFill="1" applyBorder="1"/>
    <xf numFmtId="171" fontId="23" fillId="0" borderId="58" xfId="0" applyNumberFormat="1" applyFont="1" applyBorder="1"/>
    <xf numFmtId="171" fontId="23" fillId="0" borderId="39" xfId="0" applyNumberFormat="1" applyFont="1" applyBorder="1"/>
    <xf numFmtId="171" fontId="23" fillId="0" borderId="40" xfId="0" applyNumberFormat="1" applyFont="1" applyBorder="1"/>
    <xf numFmtId="171" fontId="23" fillId="0" borderId="59" xfId="0" applyNumberFormat="1" applyFont="1" applyBorder="1"/>
    <xf numFmtId="171" fontId="22" fillId="0" borderId="19" xfId="0" applyNumberFormat="1" applyFont="1" applyBorder="1"/>
    <xf numFmtId="0" fontId="25" fillId="0" borderId="10" xfId="0" applyNumberFormat="1" applyFont="1" applyBorder="1"/>
    <xf numFmtId="167" fontId="26" fillId="0" borderId="19" xfId="43" applyNumberFormat="1" applyFont="1" applyFill="1" applyBorder="1" applyAlignment="1">
      <alignment horizontal="center" vertical="top" wrapText="1"/>
    </xf>
    <xf numFmtId="167" fontId="26" fillId="0" borderId="20" xfId="43" applyNumberFormat="1" applyFont="1" applyFill="1" applyBorder="1" applyAlignment="1">
      <alignment horizontal="center" vertical="top" wrapText="1"/>
    </xf>
    <xf numFmtId="167" fontId="26" fillId="26" borderId="20" xfId="43" applyNumberFormat="1" applyFont="1" applyFill="1" applyBorder="1" applyAlignment="1">
      <alignment horizontal="center" vertical="top" wrapText="1"/>
    </xf>
    <xf numFmtId="167" fontId="26" fillId="0" borderId="22" xfId="43" applyNumberFormat="1" applyFont="1" applyFill="1" applyBorder="1" applyAlignment="1">
      <alignment horizontal="center" vertical="top" wrapText="1"/>
    </xf>
    <xf numFmtId="0" fontId="25" fillId="0" borderId="11" xfId="0" applyNumberFormat="1" applyFont="1" applyBorder="1"/>
    <xf numFmtId="167" fontId="26" fillId="0" borderId="24" xfId="43" applyNumberFormat="1" applyFont="1" applyFill="1" applyBorder="1" applyAlignment="1">
      <alignment horizontal="center" vertical="top" wrapText="1"/>
    </xf>
    <xf numFmtId="167" fontId="26" fillId="0" borderId="25" xfId="43" applyNumberFormat="1" applyFont="1" applyFill="1" applyBorder="1" applyAlignment="1">
      <alignment horizontal="center" vertical="top" wrapText="1"/>
    </xf>
    <xf numFmtId="167" fontId="26" fillId="26" borderId="25" xfId="43" applyNumberFormat="1" applyFont="1" applyFill="1" applyBorder="1" applyAlignment="1">
      <alignment horizontal="center" vertical="top" wrapText="1"/>
    </xf>
    <xf numFmtId="167" fontId="26" fillId="0" borderId="27" xfId="43" applyNumberFormat="1" applyFont="1" applyFill="1" applyBorder="1" applyAlignment="1">
      <alignment horizontal="center" vertical="top" wrapText="1"/>
    </xf>
    <xf numFmtId="0" fontId="22" fillId="0" borderId="0" xfId="0" applyFont="1" applyAlignment="1">
      <alignment horizontal="right"/>
    </xf>
    <xf numFmtId="171" fontId="22" fillId="0" borderId="0" xfId="0" applyNumberFormat="1" applyFont="1"/>
    <xf numFmtId="0" fontId="21" fillId="0" borderId="11" xfId="0" applyFont="1" applyFill="1" applyBorder="1" applyAlignment="1" applyProtection="1">
      <alignment horizontal="left"/>
    </xf>
    <xf numFmtId="0" fontId="32" fillId="0" borderId="0" xfId="0" applyFont="1" applyProtection="1"/>
    <xf numFmtId="0" fontId="24" fillId="0" borderId="10" xfId="0" applyNumberFormat="1" applyFont="1" applyBorder="1" applyProtection="1"/>
    <xf numFmtId="0" fontId="22" fillId="0" borderId="20" xfId="0" applyNumberFormat="1" applyFont="1" applyFill="1" applyBorder="1" applyAlignment="1" applyProtection="1">
      <alignment horizontal="center"/>
    </xf>
    <xf numFmtId="171" fontId="23" fillId="0" borderId="20" xfId="0" applyNumberFormat="1" applyFont="1" applyFill="1" applyBorder="1" applyProtection="1"/>
    <xf numFmtId="0" fontId="22" fillId="0" borderId="20" xfId="0" applyFont="1" applyBorder="1" applyProtection="1"/>
    <xf numFmtId="0" fontId="22" fillId="0" borderId="18" xfId="0" applyFont="1" applyBorder="1" applyProtection="1"/>
    <xf numFmtId="0" fontId="30" fillId="0" borderId="10" xfId="0" applyNumberFormat="1" applyFont="1" applyBorder="1" applyAlignment="1" applyProtection="1">
      <alignment horizontal="left"/>
    </xf>
    <xf numFmtId="0" fontId="22" fillId="0" borderId="22" xfId="0" applyFont="1" applyBorder="1" applyProtection="1"/>
    <xf numFmtId="0" fontId="22" fillId="0" borderId="10" xfId="0" applyNumberFormat="1" applyFont="1" applyBorder="1" applyAlignment="1" applyProtection="1">
      <alignment horizontal="left" indent="1"/>
    </xf>
    <xf numFmtId="0" fontId="22" fillId="24" borderId="20" xfId="0" applyFont="1" applyFill="1" applyBorder="1" applyProtection="1">
      <protection locked="0"/>
    </xf>
    <xf numFmtId="0" fontId="22" fillId="24" borderId="22" xfId="0" applyFont="1" applyFill="1" applyBorder="1" applyProtection="1">
      <protection locked="0"/>
    </xf>
    <xf numFmtId="171" fontId="22" fillId="0" borderId="16" xfId="0" applyNumberFormat="1" applyFont="1" applyFill="1" applyBorder="1" applyProtection="1"/>
    <xf numFmtId="171" fontId="22" fillId="0" borderId="18" xfId="0" applyNumberFormat="1" applyFont="1" applyFill="1" applyBorder="1" applyProtection="1"/>
    <xf numFmtId="171" fontId="22" fillId="0" borderId="43" xfId="0" applyNumberFormat="1" applyFont="1" applyFill="1" applyBorder="1" applyProtection="1"/>
    <xf numFmtId="171" fontId="22" fillId="0" borderId="44" xfId="0" applyNumberFormat="1" applyFont="1" applyFill="1" applyBorder="1" applyProtection="1"/>
    <xf numFmtId="0" fontId="23" fillId="0" borderId="10" xfId="0" applyNumberFormat="1" applyFont="1" applyBorder="1" applyAlignment="1" applyProtection="1">
      <alignment horizontal="left"/>
    </xf>
    <xf numFmtId="171" fontId="23" fillId="0" borderId="16" xfId="0" applyNumberFormat="1" applyFont="1" applyFill="1" applyBorder="1" applyProtection="1"/>
    <xf numFmtId="171" fontId="23" fillId="0" borderId="18" xfId="0" applyNumberFormat="1" applyFont="1" applyFill="1" applyBorder="1" applyProtection="1"/>
    <xf numFmtId="171" fontId="22" fillId="0" borderId="39" xfId="0" applyNumberFormat="1" applyFont="1" applyFill="1" applyBorder="1" applyProtection="1"/>
    <xf numFmtId="0" fontId="22" fillId="0" borderId="37" xfId="0" applyNumberFormat="1" applyFont="1" applyBorder="1" applyProtection="1"/>
    <xf numFmtId="0" fontId="22" fillId="0" borderId="39" xfId="0" applyNumberFormat="1" applyFont="1" applyFill="1" applyBorder="1" applyAlignment="1" applyProtection="1">
      <alignment horizontal="center"/>
    </xf>
    <xf numFmtId="171" fontId="22" fillId="0" borderId="40" xfId="0" applyNumberFormat="1" applyFont="1" applyFill="1" applyBorder="1" applyProtection="1"/>
    <xf numFmtId="0" fontId="22" fillId="0" borderId="58" xfId="0" applyNumberFormat="1" applyFont="1" applyBorder="1" applyAlignment="1" applyProtection="1">
      <alignment horizontal="left" indent="1"/>
    </xf>
    <xf numFmtId="0" fontId="22" fillId="0" borderId="10" xfId="0" applyNumberFormat="1" applyFont="1" applyBorder="1" applyProtection="1"/>
    <xf numFmtId="0" fontId="23" fillId="0" borderId="10" xfId="0" applyNumberFormat="1" applyFont="1" applyBorder="1" applyProtection="1"/>
    <xf numFmtId="0" fontId="22" fillId="0" borderId="58" xfId="0" applyNumberFormat="1" applyFont="1" applyBorder="1" applyProtection="1"/>
    <xf numFmtId="0" fontId="22" fillId="0" borderId="16" xfId="0" applyNumberFormat="1" applyFont="1" applyFill="1" applyBorder="1" applyAlignment="1" applyProtection="1">
      <alignment horizontal="center"/>
    </xf>
    <xf numFmtId="0" fontId="22" fillId="0" borderId="37" xfId="0" applyNumberFormat="1" applyFont="1" applyBorder="1" applyAlignment="1" applyProtection="1">
      <alignment horizontal="left" indent="1"/>
    </xf>
    <xf numFmtId="0" fontId="23" fillId="0" borderId="23" xfId="0" applyNumberFormat="1" applyFont="1" applyBorder="1" applyProtection="1"/>
    <xf numFmtId="0" fontId="22" fillId="0" borderId="25" xfId="0" applyNumberFormat="1" applyFont="1" applyFill="1" applyBorder="1" applyAlignment="1" applyProtection="1">
      <alignment horizontal="center"/>
    </xf>
    <xf numFmtId="171" fontId="23" fillId="0" borderId="51" xfId="0" applyNumberFormat="1" applyFont="1" applyFill="1" applyBorder="1" applyProtection="1"/>
    <xf numFmtId="0" fontId="27" fillId="0" borderId="0" xfId="0" applyFont="1" applyProtection="1"/>
    <xf numFmtId="0" fontId="26" fillId="0" borderId="0" xfId="0" applyFont="1" applyProtection="1"/>
    <xf numFmtId="0" fontId="26" fillId="0" borderId="0" xfId="0" quotePrefix="1" applyFont="1" applyFill="1" applyBorder="1"/>
    <xf numFmtId="0" fontId="26" fillId="0" borderId="0" xfId="0" applyFont="1"/>
    <xf numFmtId="0" fontId="22" fillId="0" borderId="20" xfId="0" applyFont="1" applyBorder="1" applyAlignment="1">
      <alignment horizontal="center"/>
    </xf>
    <xf numFmtId="0" fontId="24" fillId="0" borderId="10" xfId="0" applyFont="1" applyFill="1" applyBorder="1" applyAlignment="1">
      <alignment horizontal="left"/>
    </xf>
    <xf numFmtId="0" fontId="23" fillId="0" borderId="37" xfId="0" applyFont="1" applyBorder="1" applyAlignment="1">
      <alignment horizontal="left" indent="1"/>
    </xf>
    <xf numFmtId="0" fontId="25" fillId="0" borderId="10" xfId="0" applyFont="1" applyBorder="1" applyAlignment="1">
      <alignment horizontal="right" indent="1"/>
    </xf>
    <xf numFmtId="0" fontId="28" fillId="0" borderId="10" xfId="0" applyFont="1" applyBorder="1" applyAlignment="1">
      <alignment horizontal="left" indent="1"/>
    </xf>
    <xf numFmtId="0" fontId="26" fillId="24" borderId="10" xfId="0" applyFont="1" applyFill="1" applyBorder="1" applyAlignment="1" applyProtection="1">
      <alignment horizontal="left" indent="1"/>
      <protection locked="0"/>
    </xf>
    <xf numFmtId="0" fontId="26" fillId="24" borderId="10" xfId="0" applyFont="1" applyFill="1" applyBorder="1" applyProtection="1">
      <protection locked="0"/>
    </xf>
    <xf numFmtId="0" fontId="28" fillId="0" borderId="20" xfId="0" applyFont="1" applyBorder="1" applyAlignment="1">
      <alignment horizontal="center"/>
    </xf>
    <xf numFmtId="0" fontId="23" fillId="0" borderId="23" xfId="0" applyFont="1" applyBorder="1"/>
    <xf numFmtId="0" fontId="23" fillId="0" borderId="10" xfId="0" applyFont="1" applyFill="1" applyBorder="1" applyAlignment="1">
      <alignment horizontal="left" vertical="center"/>
    </xf>
    <xf numFmtId="0" fontId="22" fillId="0" borderId="14" xfId="0" applyFont="1" applyFill="1" applyBorder="1" applyAlignment="1">
      <alignment horizontal="center" vertical="center"/>
    </xf>
    <xf numFmtId="0" fontId="22" fillId="0" borderId="36" xfId="0" applyFont="1" applyFill="1" applyBorder="1" applyAlignment="1">
      <alignment horizontal="center" vertical="center"/>
    </xf>
    <xf numFmtId="0" fontId="22" fillId="0" borderId="20" xfId="0" applyFont="1" applyFill="1" applyBorder="1" applyAlignment="1">
      <alignment horizontal="center" vertical="center"/>
    </xf>
    <xf numFmtId="9" fontId="22" fillId="0" borderId="20" xfId="43" applyFont="1" applyFill="1" applyBorder="1" applyAlignment="1">
      <alignment horizontal="center" vertical="center"/>
    </xf>
    <xf numFmtId="9" fontId="22" fillId="0" borderId="22" xfId="43" applyFont="1" applyFill="1" applyBorder="1" applyAlignment="1">
      <alignment horizontal="center" vertical="center"/>
    </xf>
    <xf numFmtId="171" fontId="23" fillId="0" borderId="15" xfId="0" applyNumberFormat="1" applyFont="1" applyBorder="1"/>
    <xf numFmtId="0" fontId="23" fillId="0" borderId="37" xfId="0" applyFont="1" applyBorder="1"/>
    <xf numFmtId="0" fontId="26" fillId="0" borderId="10" xfId="0" applyFont="1" applyBorder="1" applyAlignment="1">
      <alignment horizontal="left" indent="1"/>
    </xf>
    <xf numFmtId="0" fontId="23" fillId="0" borderId="46" xfId="0" applyFont="1" applyFill="1" applyBorder="1"/>
    <xf numFmtId="0" fontId="22" fillId="0" borderId="46" xfId="0" applyFont="1" applyFill="1" applyBorder="1" applyAlignment="1">
      <alignment horizontal="center"/>
    </xf>
    <xf numFmtId="171" fontId="22" fillId="0" borderId="46" xfId="0" applyNumberFormat="1" applyFont="1" applyBorder="1"/>
    <xf numFmtId="171" fontId="22" fillId="0" borderId="11" xfId="0" applyNumberFormat="1" applyFont="1" applyBorder="1"/>
    <xf numFmtId="0" fontId="22" fillId="0" borderId="60" xfId="0" applyFont="1" applyBorder="1" applyAlignment="1">
      <alignment horizontal="center"/>
    </xf>
    <xf numFmtId="171" fontId="22" fillId="24" borderId="61" xfId="0" applyNumberFormat="1" applyFont="1" applyFill="1" applyBorder="1" applyProtection="1">
      <protection locked="0"/>
    </xf>
    <xf numFmtId="171" fontId="22" fillId="24" borderId="30" xfId="0" applyNumberFormat="1" applyFont="1" applyFill="1" applyBorder="1" applyProtection="1">
      <protection locked="0"/>
    </xf>
    <xf numFmtId="171" fontId="22" fillId="0" borderId="30" xfId="0" applyNumberFormat="1" applyFont="1" applyBorder="1"/>
    <xf numFmtId="171" fontId="22" fillId="24" borderId="32" xfId="0" applyNumberFormat="1" applyFont="1" applyFill="1" applyBorder="1" applyProtection="1">
      <protection locked="0"/>
    </xf>
    <xf numFmtId="171" fontId="22" fillId="24" borderId="24" xfId="0" applyNumberFormat="1" applyFont="1" applyFill="1" applyBorder="1" applyProtection="1">
      <protection locked="0"/>
    </xf>
    <xf numFmtId="171" fontId="22" fillId="24" borderId="25" xfId="0" applyNumberFormat="1" applyFont="1" applyFill="1" applyBorder="1" applyProtection="1">
      <protection locked="0"/>
    </xf>
    <xf numFmtId="171" fontId="22" fillId="24" borderId="27" xfId="0" applyNumberFormat="1" applyFont="1" applyFill="1" applyBorder="1" applyProtection="1">
      <protection locked="0"/>
    </xf>
    <xf numFmtId="0" fontId="26" fillId="0" borderId="0" xfId="0" applyFont="1" applyAlignment="1">
      <alignment horizontal="right"/>
    </xf>
    <xf numFmtId="43" fontId="22" fillId="0" borderId="0" xfId="29" applyFont="1" applyFill="1" applyBorder="1"/>
    <xf numFmtId="0" fontId="23" fillId="24" borderId="14" xfId="0" applyFont="1" applyFill="1" applyBorder="1" applyAlignment="1" applyProtection="1">
      <alignment horizontal="left" vertical="top" wrapText="1"/>
      <protection locked="0"/>
    </xf>
    <xf numFmtId="0" fontId="22" fillId="24" borderId="14" xfId="0" applyFont="1" applyFill="1" applyBorder="1" applyAlignment="1" applyProtection="1">
      <alignment horizontal="left" vertical="top" wrapText="1"/>
      <protection locked="0"/>
    </xf>
    <xf numFmtId="0" fontId="22" fillId="24" borderId="14" xfId="0" applyFont="1" applyFill="1" applyBorder="1" applyAlignment="1" applyProtection="1">
      <alignment horizontal="left" wrapText="1"/>
      <protection locked="0"/>
    </xf>
    <xf numFmtId="171" fontId="22" fillId="24" borderId="53" xfId="0" applyNumberFormat="1" applyFont="1" applyFill="1" applyBorder="1" applyProtection="1">
      <protection locked="0"/>
    </xf>
    <xf numFmtId="166" fontId="26" fillId="0" borderId="0" xfId="29" applyNumberFormat="1" applyFont="1" applyFill="1" applyBorder="1" applyAlignment="1">
      <alignment vertical="top" wrapText="1"/>
    </xf>
    <xf numFmtId="0" fontId="23" fillId="0" borderId="61"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43" xfId="0" applyFont="1" applyFill="1" applyBorder="1" applyAlignment="1">
      <alignment horizontal="center" vertical="center" wrapText="1"/>
    </xf>
    <xf numFmtId="0" fontId="23" fillId="0" borderId="6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24" fillId="0" borderId="10" xfId="0" applyFont="1" applyBorder="1" applyAlignment="1">
      <alignment horizontal="left" wrapText="1"/>
    </xf>
    <xf numFmtId="0" fontId="22" fillId="0" borderId="14" xfId="0" applyFont="1" applyBorder="1" applyAlignment="1">
      <alignment horizontal="left" vertical="top" wrapText="1"/>
    </xf>
    <xf numFmtId="167" fontId="26" fillId="0" borderId="21" xfId="43" applyNumberFormat="1" applyFont="1" applyFill="1" applyBorder="1" applyAlignment="1">
      <alignment horizontal="center" vertical="top" wrapText="1"/>
    </xf>
    <xf numFmtId="0" fontId="22" fillId="0" borderId="10" xfId="0" applyFont="1" applyBorder="1" applyAlignment="1">
      <alignment horizontal="left" vertical="top" wrapText="1" indent="1"/>
    </xf>
    <xf numFmtId="167" fontId="22" fillId="24" borderId="20" xfId="43" applyNumberFormat="1" applyFont="1" applyFill="1" applyBorder="1" applyAlignment="1" applyProtection="1">
      <alignment horizontal="center" vertical="top" wrapText="1"/>
      <protection locked="0"/>
    </xf>
    <xf numFmtId="167" fontId="22" fillId="0" borderId="20" xfId="43" applyNumberFormat="1" applyFont="1" applyFill="1" applyBorder="1" applyAlignment="1">
      <alignment horizontal="center" vertical="top" wrapText="1"/>
    </xf>
    <xf numFmtId="167" fontId="22" fillId="0" borderId="21" xfId="43" applyNumberFormat="1" applyFont="1" applyFill="1" applyBorder="1" applyAlignment="1">
      <alignment horizontal="center" vertical="top" wrapText="1"/>
    </xf>
    <xf numFmtId="167" fontId="22" fillId="0" borderId="22" xfId="43" applyNumberFormat="1" applyFont="1" applyFill="1" applyBorder="1" applyAlignment="1">
      <alignment horizontal="center" vertical="top" wrapText="1"/>
    </xf>
    <xf numFmtId="167" fontId="22" fillId="24" borderId="19" xfId="43" applyNumberFormat="1" applyFont="1" applyFill="1" applyBorder="1" applyAlignment="1" applyProtection="1">
      <alignment horizontal="center" vertical="top" wrapText="1"/>
      <protection locked="0"/>
    </xf>
    <xf numFmtId="167" fontId="22" fillId="26" borderId="21" xfId="43" applyNumberFormat="1" applyFont="1" applyFill="1" applyBorder="1" applyAlignment="1">
      <alignment horizontal="center" vertical="top" wrapText="1"/>
    </xf>
    <xf numFmtId="167" fontId="22" fillId="26" borderId="22" xfId="43" applyNumberFormat="1" applyFont="1" applyFill="1" applyBorder="1" applyAlignment="1">
      <alignment horizontal="center" vertical="top" wrapText="1"/>
    </xf>
    <xf numFmtId="167" fontId="22" fillId="24" borderId="21" xfId="43" applyNumberFormat="1" applyFont="1" applyFill="1" applyBorder="1" applyAlignment="1" applyProtection="1">
      <alignment horizontal="center" vertical="top" wrapText="1"/>
      <protection locked="0"/>
    </xf>
    <xf numFmtId="167" fontId="22" fillId="24" borderId="22" xfId="43" applyNumberFormat="1" applyFont="1" applyFill="1" applyBorder="1" applyAlignment="1" applyProtection="1">
      <alignment horizontal="center" vertical="top" wrapText="1"/>
      <protection locked="0"/>
    </xf>
    <xf numFmtId="167" fontId="22" fillId="24" borderId="36" xfId="43" applyNumberFormat="1" applyFont="1" applyFill="1" applyBorder="1" applyAlignment="1" applyProtection="1">
      <alignment horizontal="center" vertical="top" wrapText="1"/>
      <protection locked="0"/>
    </xf>
    <xf numFmtId="0" fontId="22" fillId="0" borderId="23" xfId="0" applyFont="1" applyBorder="1" applyAlignment="1"/>
    <xf numFmtId="170" fontId="22" fillId="24" borderId="53" xfId="0" applyNumberFormat="1" applyFont="1" applyFill="1" applyBorder="1" applyProtection="1">
      <protection locked="0"/>
    </xf>
    <xf numFmtId="170" fontId="22" fillId="24" borderId="25" xfId="0" applyNumberFormat="1" applyFont="1" applyFill="1" applyBorder="1" applyProtection="1">
      <protection locked="0"/>
    </xf>
    <xf numFmtId="0" fontId="28" fillId="0" borderId="0" xfId="0" applyFont="1" applyFill="1" applyBorder="1"/>
    <xf numFmtId="0" fontId="22" fillId="0" borderId="0" xfId="0" applyFont="1" applyFill="1" applyBorder="1"/>
    <xf numFmtId="167" fontId="22" fillId="0" borderId="0" xfId="0" applyNumberFormat="1" applyFont="1" applyFill="1" applyAlignment="1">
      <alignment horizontal="center"/>
    </xf>
    <xf numFmtId="171" fontId="22" fillId="0" borderId="0" xfId="0" applyNumberFormat="1" applyFont="1" applyFill="1" applyBorder="1"/>
    <xf numFmtId="167" fontId="22" fillId="0" borderId="0" xfId="43" applyNumberFormat="1" applyFont="1" applyFill="1" applyBorder="1" applyAlignment="1">
      <alignment horizontal="center" vertical="top" wrapText="1"/>
    </xf>
    <xf numFmtId="168" fontId="22" fillId="0" borderId="0" xfId="29" applyNumberFormat="1" applyFont="1" applyFill="1" applyBorder="1"/>
    <xf numFmtId="168" fontId="22" fillId="0" borderId="0" xfId="29" applyNumberFormat="1" applyFont="1" applyBorder="1"/>
    <xf numFmtId="0" fontId="23" fillId="0" borderId="28" xfId="0" applyFont="1" applyFill="1" applyBorder="1" applyAlignment="1" applyProtection="1">
      <alignment horizontal="center" vertical="center" wrapText="1"/>
    </xf>
    <xf numFmtId="0" fontId="23" fillId="0" borderId="32" xfId="0" applyFont="1" applyFill="1" applyBorder="1" applyAlignment="1" applyProtection="1">
      <alignment horizontal="center" vertical="center" wrapText="1"/>
    </xf>
    <xf numFmtId="0" fontId="23" fillId="0" borderId="29" xfId="0" applyFont="1" applyFill="1" applyBorder="1" applyAlignment="1" applyProtection="1">
      <alignment horizontal="center" vertical="center" wrapText="1"/>
    </xf>
    <xf numFmtId="0" fontId="23" fillId="0" borderId="30" xfId="0" applyFont="1" applyFill="1" applyBorder="1" applyAlignment="1" applyProtection="1">
      <alignment horizontal="center" vertical="center" wrapText="1"/>
    </xf>
    <xf numFmtId="0" fontId="23" fillId="0" borderId="31" xfId="0" applyFont="1" applyFill="1" applyBorder="1" applyAlignment="1" applyProtection="1">
      <alignment horizontal="center" vertical="center" wrapText="1"/>
    </xf>
    <xf numFmtId="9" fontId="23" fillId="0" borderId="29" xfId="43" applyFont="1" applyFill="1" applyBorder="1" applyAlignment="1" applyProtection="1">
      <alignment horizontal="center" vertical="center" wrapText="1"/>
    </xf>
    <xf numFmtId="9" fontId="23" fillId="0" borderId="30" xfId="43" applyFont="1" applyFill="1" applyBorder="1" applyAlignment="1" applyProtection="1">
      <alignment horizontal="center" vertical="center" wrapText="1"/>
    </xf>
    <xf numFmtId="0" fontId="24" fillId="0" borderId="28" xfId="0" applyNumberFormat="1" applyFont="1" applyBorder="1" applyAlignment="1" applyProtection="1">
      <alignment horizontal="left" wrapText="1"/>
    </xf>
    <xf numFmtId="0" fontId="22" fillId="0" borderId="29" xfId="0" applyFont="1" applyBorder="1" applyAlignment="1" applyProtection="1">
      <alignment horizontal="left" vertical="top" wrapText="1"/>
    </xf>
    <xf numFmtId="0" fontId="22" fillId="0" borderId="30" xfId="0" applyFont="1" applyBorder="1" applyAlignment="1" applyProtection="1">
      <alignment horizontal="left" vertical="top" wrapText="1"/>
    </xf>
    <xf numFmtId="0" fontId="22" fillId="0" borderId="30" xfId="0" applyFont="1" applyBorder="1" applyAlignment="1" applyProtection="1">
      <alignment horizontal="center" vertical="top" wrapText="1"/>
    </xf>
    <xf numFmtId="0" fontId="22" fillId="0" borderId="32" xfId="0" applyFont="1" applyBorder="1" applyAlignment="1" applyProtection="1">
      <alignment horizontal="center" vertical="top" wrapText="1"/>
    </xf>
    <xf numFmtId="0" fontId="22" fillId="0" borderId="10" xfId="0" applyNumberFormat="1" applyFont="1" applyFill="1" applyBorder="1" applyAlignment="1" applyProtection="1">
      <alignment horizontal="left" wrapText="1" indent="1"/>
    </xf>
    <xf numFmtId="0" fontId="22" fillId="0" borderId="10" xfId="0" applyNumberFormat="1" applyFont="1" applyFill="1" applyBorder="1" applyAlignment="1" applyProtection="1">
      <alignment horizontal="left" vertical="top" wrapText="1" indent="1"/>
    </xf>
    <xf numFmtId="0" fontId="22" fillId="0" borderId="37" xfId="0" applyNumberFormat="1" applyFont="1" applyFill="1" applyBorder="1" applyAlignment="1" applyProtection="1">
      <alignment horizontal="left" vertical="top" wrapText="1" indent="1"/>
    </xf>
    <xf numFmtId="165" fontId="22" fillId="0" borderId="19" xfId="29" applyNumberFormat="1" applyFont="1" applyFill="1" applyBorder="1" applyAlignment="1" applyProtection="1">
      <alignment horizontal="left" vertical="top" wrapText="1"/>
    </xf>
    <xf numFmtId="165" fontId="22" fillId="0" borderId="20" xfId="29" applyNumberFormat="1" applyFont="1" applyFill="1" applyBorder="1" applyAlignment="1" applyProtection="1">
      <alignment horizontal="left" vertical="top" wrapText="1"/>
    </xf>
    <xf numFmtId="0" fontId="22" fillId="0" borderId="20" xfId="0" applyFont="1" applyFill="1" applyBorder="1" applyAlignment="1" applyProtection="1">
      <alignment horizontal="center" vertical="top" wrapText="1"/>
    </xf>
    <xf numFmtId="0" fontId="22" fillId="0" borderId="21" xfId="0" applyFont="1" applyFill="1" applyBorder="1" applyAlignment="1" applyProtection="1">
      <alignment horizontal="center" vertical="top" wrapText="1"/>
    </xf>
    <xf numFmtId="0" fontId="22" fillId="0" borderId="19" xfId="0" applyFont="1" applyFill="1" applyBorder="1" applyAlignment="1" applyProtection="1">
      <alignment horizontal="center" vertical="top" wrapText="1"/>
    </xf>
    <xf numFmtId="0" fontId="22" fillId="0" borderId="22" xfId="0" applyFont="1" applyFill="1" applyBorder="1" applyAlignment="1" applyProtection="1">
      <alignment horizontal="center" vertical="top" wrapText="1"/>
    </xf>
    <xf numFmtId="0" fontId="24" fillId="0" borderId="10" xfId="0" applyNumberFormat="1" applyFont="1" applyFill="1" applyBorder="1" applyAlignment="1" applyProtection="1">
      <alignment horizontal="left" wrapText="1"/>
    </xf>
    <xf numFmtId="172" fontId="22" fillId="24" borderId="19" xfId="29" applyNumberFormat="1" applyFont="1" applyFill="1" applyBorder="1" applyAlignment="1" applyProtection="1">
      <alignment horizontal="left" vertical="top" wrapText="1"/>
      <protection locked="0"/>
    </xf>
    <xf numFmtId="172" fontId="22" fillId="24" borderId="20" xfId="29" applyNumberFormat="1" applyFont="1" applyFill="1" applyBorder="1" applyAlignment="1" applyProtection="1">
      <alignment horizontal="left" vertical="top" wrapText="1"/>
      <protection locked="0"/>
    </xf>
    <xf numFmtId="172" fontId="22" fillId="24" borderId="20" xfId="43" applyNumberFormat="1" applyFont="1" applyFill="1" applyBorder="1" applyAlignment="1" applyProtection="1">
      <alignment horizontal="center" vertical="top" wrapText="1"/>
      <protection locked="0"/>
    </xf>
    <xf numFmtId="172" fontId="22" fillId="24" borderId="21" xfId="43" applyNumberFormat="1" applyFont="1" applyFill="1" applyBorder="1" applyAlignment="1" applyProtection="1">
      <alignment horizontal="center" vertical="top" wrapText="1"/>
      <protection locked="0"/>
    </xf>
    <xf numFmtId="172" fontId="22" fillId="24" borderId="19" xfId="43" applyNumberFormat="1" applyFont="1" applyFill="1" applyBorder="1" applyAlignment="1" applyProtection="1">
      <alignment horizontal="center" vertical="top" wrapText="1"/>
      <protection locked="0"/>
    </xf>
    <xf numFmtId="172" fontId="22" fillId="24" borderId="22" xfId="43" applyNumberFormat="1" applyFont="1" applyFill="1" applyBorder="1" applyAlignment="1" applyProtection="1">
      <alignment horizontal="center" vertical="top" wrapText="1"/>
      <protection locked="0"/>
    </xf>
    <xf numFmtId="172" fontId="22" fillId="0" borderId="19" xfId="29" applyNumberFormat="1" applyFont="1" applyFill="1" applyBorder="1" applyAlignment="1" applyProtection="1">
      <alignment horizontal="left" vertical="top" wrapText="1"/>
    </xf>
    <xf numFmtId="172" fontId="22" fillId="0" borderId="20" xfId="29" applyNumberFormat="1" applyFont="1" applyFill="1" applyBorder="1" applyAlignment="1" applyProtection="1">
      <alignment horizontal="left" vertical="top" wrapText="1"/>
    </xf>
    <xf numFmtId="172" fontId="22" fillId="0" borderId="20" xfId="0" applyNumberFormat="1" applyFont="1" applyFill="1" applyBorder="1" applyAlignment="1" applyProtection="1">
      <alignment horizontal="center" vertical="top" wrapText="1"/>
    </xf>
    <xf numFmtId="172" fontId="22" fillId="0" borderId="21" xfId="0" applyNumberFormat="1" applyFont="1" applyFill="1" applyBorder="1" applyAlignment="1" applyProtection="1">
      <alignment horizontal="center" vertical="top" wrapText="1"/>
    </xf>
    <xf numFmtId="172" fontId="22" fillId="0" borderId="19" xfId="0" applyNumberFormat="1" applyFont="1" applyFill="1" applyBorder="1" applyAlignment="1" applyProtection="1">
      <alignment horizontal="center" vertical="top" wrapText="1"/>
    </xf>
    <xf numFmtId="172" fontId="22" fillId="0" borderId="22" xfId="0" applyNumberFormat="1" applyFont="1" applyFill="1" applyBorder="1" applyAlignment="1" applyProtection="1">
      <alignment horizontal="center" vertical="top" wrapText="1"/>
    </xf>
    <xf numFmtId="165" fontId="22" fillId="24" borderId="19" xfId="29" applyNumberFormat="1" applyFont="1" applyFill="1" applyBorder="1" applyAlignment="1" applyProtection="1">
      <alignment horizontal="left" vertical="top" wrapText="1"/>
      <protection locked="0"/>
    </xf>
    <xf numFmtId="165" fontId="22" fillId="24" borderId="20" xfId="29" applyNumberFormat="1" applyFont="1" applyFill="1" applyBorder="1" applyAlignment="1" applyProtection="1">
      <alignment horizontal="left" vertical="top" wrapText="1"/>
      <protection locked="0"/>
    </xf>
    <xf numFmtId="2" fontId="22" fillId="24" borderId="20" xfId="29" applyNumberFormat="1" applyFont="1" applyFill="1" applyBorder="1" applyAlignment="1" applyProtection="1">
      <alignment horizontal="center" vertical="top" wrapText="1"/>
      <protection locked="0"/>
    </xf>
    <xf numFmtId="2" fontId="22" fillId="24" borderId="22" xfId="29" applyNumberFormat="1" applyFont="1" applyFill="1" applyBorder="1" applyAlignment="1" applyProtection="1">
      <alignment horizontal="center" vertical="top" wrapText="1"/>
      <protection locked="0"/>
    </xf>
    <xf numFmtId="165" fontId="22" fillId="0" borderId="58" xfId="29" applyNumberFormat="1" applyFont="1" applyFill="1" applyBorder="1" applyAlignment="1" applyProtection="1">
      <alignment horizontal="left" vertical="top" wrapText="1"/>
    </xf>
    <xf numFmtId="165" fontId="22" fillId="0" borderId="39" xfId="29" applyNumberFormat="1" applyFont="1" applyFill="1" applyBorder="1" applyAlignment="1" applyProtection="1">
      <alignment horizontal="left" vertical="top" wrapText="1"/>
    </xf>
    <xf numFmtId="2" fontId="22" fillId="0" borderId="39" xfId="29" applyNumberFormat="1" applyFont="1" applyFill="1" applyBorder="1" applyAlignment="1" applyProtection="1">
      <alignment horizontal="center" vertical="top" wrapText="1"/>
    </xf>
    <xf numFmtId="2" fontId="22" fillId="0" borderId="63" xfId="29" applyNumberFormat="1" applyFont="1" applyFill="1" applyBorder="1" applyAlignment="1" applyProtection="1">
      <alignment horizontal="center" vertical="top" wrapText="1"/>
    </xf>
    <xf numFmtId="2" fontId="22" fillId="0" borderId="58" xfId="29" applyNumberFormat="1" applyFont="1" applyFill="1" applyBorder="1" applyAlignment="1" applyProtection="1">
      <alignment horizontal="center" vertical="top" wrapText="1"/>
    </xf>
    <xf numFmtId="2" fontId="22" fillId="0" borderId="40" xfId="29" applyNumberFormat="1" applyFont="1" applyFill="1" applyBorder="1" applyAlignment="1" applyProtection="1">
      <alignment horizontal="center" vertical="top" wrapText="1"/>
    </xf>
    <xf numFmtId="171" fontId="22" fillId="24" borderId="21" xfId="0" applyNumberFormat="1" applyFont="1" applyFill="1" applyBorder="1" applyProtection="1">
      <protection locked="0"/>
    </xf>
    <xf numFmtId="171" fontId="22" fillId="24" borderId="19" xfId="0" applyNumberFormat="1" applyFont="1" applyFill="1" applyBorder="1" applyProtection="1">
      <protection locked="0"/>
    </xf>
    <xf numFmtId="165" fontId="22" fillId="24" borderId="58" xfId="29" applyNumberFormat="1" applyFont="1" applyFill="1" applyBorder="1" applyAlignment="1" applyProtection="1">
      <alignment horizontal="left" vertical="top" wrapText="1"/>
      <protection locked="0"/>
    </xf>
    <xf numFmtId="165" fontId="22" fillId="24" borderId="39" xfId="29" applyNumberFormat="1" applyFont="1" applyFill="1" applyBorder="1" applyAlignment="1" applyProtection="1">
      <alignment horizontal="left" vertical="top" wrapText="1"/>
      <protection locked="0"/>
    </xf>
    <xf numFmtId="165" fontId="22" fillId="24" borderId="39" xfId="29" applyNumberFormat="1" applyFont="1" applyFill="1" applyBorder="1" applyProtection="1">
      <protection locked="0"/>
    </xf>
    <xf numFmtId="165" fontId="22" fillId="24" borderId="63" xfId="29" applyNumberFormat="1" applyFont="1" applyFill="1" applyBorder="1" applyProtection="1">
      <protection locked="0"/>
    </xf>
    <xf numFmtId="165" fontId="22" fillId="24" borderId="58" xfId="29" applyNumberFormat="1" applyFont="1" applyFill="1" applyBorder="1" applyProtection="1">
      <protection locked="0"/>
    </xf>
    <xf numFmtId="165" fontId="22" fillId="24" borderId="40" xfId="29" applyNumberFormat="1" applyFont="1" applyFill="1" applyBorder="1" applyProtection="1">
      <protection locked="0"/>
    </xf>
    <xf numFmtId="165" fontId="22" fillId="24" borderId="20" xfId="29" applyNumberFormat="1" applyFont="1" applyFill="1" applyBorder="1" applyAlignment="1" applyProtection="1">
      <alignment horizontal="center" vertical="top" wrapText="1"/>
      <protection locked="0"/>
    </xf>
    <xf numFmtId="165" fontId="22" fillId="24" borderId="21" xfId="29" applyNumberFormat="1" applyFont="1" applyFill="1" applyBorder="1" applyAlignment="1" applyProtection="1">
      <alignment horizontal="center" vertical="top" wrapText="1"/>
      <protection locked="0"/>
    </xf>
    <xf numFmtId="165" fontId="22" fillId="24" borderId="19" xfId="29" applyNumberFormat="1" applyFont="1" applyFill="1" applyBorder="1" applyAlignment="1" applyProtection="1">
      <alignment horizontal="center" vertical="top" wrapText="1"/>
      <protection locked="0"/>
    </xf>
    <xf numFmtId="165" fontId="22" fillId="24" borderId="22" xfId="29" applyNumberFormat="1" applyFont="1" applyFill="1" applyBorder="1" applyAlignment="1" applyProtection="1">
      <alignment horizontal="center" vertical="top" wrapText="1"/>
      <protection locked="0"/>
    </xf>
    <xf numFmtId="165" fontId="22" fillId="24" borderId="39" xfId="29" applyNumberFormat="1" applyFont="1" applyFill="1" applyBorder="1" applyAlignment="1" applyProtection="1">
      <alignment horizontal="center" vertical="top" wrapText="1"/>
      <protection locked="0"/>
    </xf>
    <xf numFmtId="165" fontId="22" fillId="24" borderId="63" xfId="29" applyNumberFormat="1" applyFont="1" applyFill="1" applyBorder="1" applyAlignment="1" applyProtection="1">
      <alignment horizontal="center" vertical="top" wrapText="1"/>
      <protection locked="0"/>
    </xf>
    <xf numFmtId="165" fontId="22" fillId="24" borderId="58" xfId="29" applyNumberFormat="1" applyFont="1" applyFill="1" applyBorder="1" applyAlignment="1" applyProtection="1">
      <alignment horizontal="center" vertical="top" wrapText="1"/>
      <protection locked="0"/>
    </xf>
    <xf numFmtId="165" fontId="22" fillId="24" borderId="40" xfId="29" applyNumberFormat="1" applyFont="1" applyFill="1" applyBorder="1" applyAlignment="1" applyProtection="1">
      <alignment horizontal="center" vertical="top" wrapText="1"/>
      <protection locked="0"/>
    </xf>
    <xf numFmtId="0" fontId="23" fillId="0" borderId="10" xfId="0" applyNumberFormat="1" applyFont="1" applyFill="1" applyBorder="1" applyAlignment="1" applyProtection="1">
      <alignment horizontal="left" vertical="top" wrapText="1" indent="1"/>
    </xf>
    <xf numFmtId="165" fontId="22" fillId="0" borderId="20" xfId="29" applyNumberFormat="1" applyFont="1" applyFill="1" applyBorder="1" applyAlignment="1" applyProtection="1">
      <alignment horizontal="center" vertical="top" wrapText="1"/>
    </xf>
    <xf numFmtId="165" fontId="22" fillId="0" borderId="21" xfId="29" applyNumberFormat="1" applyFont="1" applyFill="1" applyBorder="1" applyAlignment="1" applyProtection="1">
      <alignment horizontal="center" vertical="top" wrapText="1"/>
    </xf>
    <xf numFmtId="165" fontId="22" fillId="0" borderId="19" xfId="29" applyNumberFormat="1" applyFont="1" applyFill="1" applyBorder="1" applyAlignment="1" applyProtection="1">
      <alignment horizontal="center" vertical="top" wrapText="1"/>
    </xf>
    <xf numFmtId="165" fontId="22" fillId="0" borderId="22" xfId="29" applyNumberFormat="1" applyFont="1" applyFill="1" applyBorder="1" applyAlignment="1" applyProtection="1">
      <alignment horizontal="center" vertical="top" wrapText="1"/>
    </xf>
    <xf numFmtId="0" fontId="23" fillId="0" borderId="37" xfId="0" applyNumberFormat="1" applyFont="1" applyFill="1" applyBorder="1" applyAlignment="1" applyProtection="1">
      <alignment horizontal="left" vertical="top" wrapText="1" indent="1"/>
    </xf>
    <xf numFmtId="165" fontId="22" fillId="0" borderId="64" xfId="29" applyNumberFormat="1" applyFont="1" applyFill="1" applyBorder="1" applyAlignment="1" applyProtection="1">
      <alignment horizontal="left" vertical="top" wrapText="1"/>
    </xf>
    <xf numFmtId="165" fontId="22" fillId="0" borderId="43" xfId="29" applyNumberFormat="1" applyFont="1" applyFill="1" applyBorder="1" applyAlignment="1" applyProtection="1">
      <alignment horizontal="left" vertical="top" wrapText="1"/>
    </xf>
    <xf numFmtId="165" fontId="22" fillId="0" borderId="43" xfId="29" applyNumberFormat="1" applyFont="1" applyFill="1" applyBorder="1" applyAlignment="1" applyProtection="1">
      <alignment horizontal="center" vertical="top" wrapText="1"/>
    </xf>
    <xf numFmtId="165" fontId="22" fillId="0" borderId="62" xfId="29" applyNumberFormat="1" applyFont="1" applyFill="1" applyBorder="1" applyAlignment="1" applyProtection="1">
      <alignment horizontal="center" vertical="top" wrapText="1"/>
    </xf>
    <xf numFmtId="165" fontId="22" fillId="0" borderId="64" xfId="29" applyNumberFormat="1" applyFont="1" applyFill="1" applyBorder="1" applyAlignment="1" applyProtection="1">
      <alignment horizontal="center" vertical="top" wrapText="1"/>
    </xf>
    <xf numFmtId="165" fontId="22" fillId="0" borderId="44" xfId="29" applyNumberFormat="1" applyFont="1" applyFill="1" applyBorder="1" applyAlignment="1" applyProtection="1">
      <alignment horizontal="center" vertical="top" wrapText="1"/>
    </xf>
    <xf numFmtId="0" fontId="22" fillId="0" borderId="10" xfId="0" applyNumberFormat="1" applyFont="1" applyBorder="1" applyAlignment="1" applyProtection="1">
      <alignment horizontal="left" vertical="top" wrapText="1" indent="1"/>
    </xf>
    <xf numFmtId="2" fontId="22" fillId="0" borderId="20" xfId="29" applyNumberFormat="1" applyFont="1" applyBorder="1" applyAlignment="1" applyProtection="1">
      <alignment horizontal="center" vertical="top" wrapText="1"/>
    </xf>
    <xf numFmtId="2" fontId="22" fillId="0" borderId="21" xfId="29" applyNumberFormat="1" applyFont="1" applyBorder="1" applyAlignment="1" applyProtection="1">
      <alignment horizontal="center" vertical="top" wrapText="1"/>
    </xf>
    <xf numFmtId="2" fontId="22" fillId="0" borderId="19" xfId="29" applyNumberFormat="1" applyFont="1" applyBorder="1" applyAlignment="1" applyProtection="1">
      <alignment horizontal="center" vertical="top" wrapText="1"/>
    </xf>
    <xf numFmtId="2" fontId="22" fillId="0" borderId="22" xfId="29" applyNumberFormat="1" applyFont="1" applyBorder="1" applyAlignment="1" applyProtection="1">
      <alignment horizontal="center" vertical="top" wrapText="1"/>
    </xf>
    <xf numFmtId="0" fontId="24" fillId="0" borderId="10" xfId="0" applyNumberFormat="1" applyFont="1" applyBorder="1" applyAlignment="1" applyProtection="1">
      <alignment horizontal="left" vertical="top" wrapText="1"/>
    </xf>
    <xf numFmtId="165" fontId="22" fillId="0" borderId="19" xfId="29" applyNumberFormat="1" applyFont="1" applyBorder="1" applyAlignment="1" applyProtection="1">
      <alignment horizontal="left" vertical="top" wrapText="1"/>
    </xf>
    <xf numFmtId="165" fontId="22" fillId="0" borderId="20" xfId="29" applyNumberFormat="1" applyFont="1" applyBorder="1" applyAlignment="1" applyProtection="1">
      <alignment horizontal="left" vertical="top" wrapText="1"/>
    </xf>
    <xf numFmtId="167" fontId="22" fillId="0" borderId="20" xfId="0" applyNumberFormat="1" applyFont="1" applyFill="1" applyBorder="1" applyAlignment="1" applyProtection="1">
      <alignment horizontal="center" vertical="top" wrapText="1"/>
    </xf>
    <xf numFmtId="167" fontId="22" fillId="0" borderId="21" xfId="0" applyNumberFormat="1" applyFont="1" applyBorder="1" applyAlignment="1" applyProtection="1">
      <alignment horizontal="center" vertical="top" wrapText="1"/>
    </xf>
    <xf numFmtId="9" fontId="22" fillId="0" borderId="19" xfId="0" applyNumberFormat="1" applyFont="1" applyFill="1" applyBorder="1" applyAlignment="1" applyProtection="1">
      <alignment horizontal="center" vertical="top" wrapText="1"/>
    </xf>
    <xf numFmtId="9" fontId="22" fillId="0" borderId="20" xfId="0" applyNumberFormat="1" applyFont="1" applyFill="1" applyBorder="1" applyAlignment="1" applyProtection="1">
      <alignment horizontal="center" vertical="top" wrapText="1"/>
    </xf>
    <xf numFmtId="9" fontId="22" fillId="0" borderId="22" xfId="0" applyNumberFormat="1" applyFont="1" applyFill="1" applyBorder="1" applyAlignment="1" applyProtection="1">
      <alignment horizontal="center" vertical="top" wrapText="1"/>
    </xf>
    <xf numFmtId="165" fontId="22" fillId="26" borderId="19" xfId="29" applyNumberFormat="1" applyFont="1" applyFill="1" applyBorder="1" applyAlignment="1" applyProtection="1">
      <alignment horizontal="left" vertical="top" wrapText="1"/>
    </xf>
    <xf numFmtId="165" fontId="22" fillId="26" borderId="20" xfId="29" applyNumberFormat="1" applyFont="1" applyFill="1" applyBorder="1" applyAlignment="1" applyProtection="1">
      <alignment horizontal="left" vertical="top" wrapText="1"/>
    </xf>
    <xf numFmtId="167" fontId="22" fillId="24" borderId="20" xfId="0" applyNumberFormat="1" applyFont="1" applyFill="1" applyBorder="1" applyAlignment="1" applyProtection="1">
      <alignment horizontal="center" vertical="top" wrapText="1"/>
      <protection locked="0"/>
    </xf>
    <xf numFmtId="167" fontId="22" fillId="24" borderId="21" xfId="0" applyNumberFormat="1" applyFont="1" applyFill="1" applyBorder="1" applyAlignment="1" applyProtection="1">
      <alignment horizontal="center" vertical="top" wrapText="1"/>
      <protection locked="0"/>
    </xf>
    <xf numFmtId="167" fontId="22" fillId="24" borderId="19" xfId="0" applyNumberFormat="1" applyFont="1" applyFill="1" applyBorder="1" applyAlignment="1" applyProtection="1">
      <alignment horizontal="center" vertical="top" wrapText="1"/>
      <protection locked="0"/>
    </xf>
    <xf numFmtId="167" fontId="22" fillId="24" borderId="22" xfId="0" applyNumberFormat="1" applyFont="1" applyFill="1" applyBorder="1" applyAlignment="1" applyProtection="1">
      <alignment horizontal="center" vertical="top" wrapText="1"/>
      <protection locked="0"/>
    </xf>
    <xf numFmtId="165" fontId="24" fillId="26" borderId="19" xfId="29" applyNumberFormat="1" applyFont="1" applyFill="1" applyBorder="1" applyAlignment="1" applyProtection="1">
      <alignment horizontal="left" vertical="top" wrapText="1"/>
    </xf>
    <xf numFmtId="165" fontId="24" fillId="26" borderId="20" xfId="29" applyNumberFormat="1" applyFont="1" applyFill="1" applyBorder="1" applyAlignment="1" applyProtection="1">
      <alignment horizontal="left" vertical="top" wrapText="1"/>
    </xf>
    <xf numFmtId="167" fontId="22" fillId="24" borderId="20" xfId="29" applyNumberFormat="1" applyFont="1" applyFill="1" applyBorder="1" applyAlignment="1" applyProtection="1">
      <alignment horizontal="center" vertical="top" wrapText="1"/>
      <protection locked="0"/>
    </xf>
    <xf numFmtId="167" fontId="22" fillId="24" borderId="21" xfId="29" applyNumberFormat="1" applyFont="1" applyFill="1" applyBorder="1" applyAlignment="1" applyProtection="1">
      <alignment horizontal="center" vertical="top" wrapText="1"/>
      <protection locked="0"/>
    </xf>
    <xf numFmtId="167" fontId="22" fillId="24" borderId="19" xfId="29" applyNumberFormat="1" applyFont="1" applyFill="1" applyBorder="1" applyAlignment="1" applyProtection="1">
      <alignment horizontal="center" vertical="top" wrapText="1"/>
      <protection locked="0"/>
    </xf>
    <xf numFmtId="167" fontId="22" fillId="24" borderId="22" xfId="29" applyNumberFormat="1" applyFont="1" applyFill="1" applyBorder="1" applyAlignment="1" applyProtection="1">
      <alignment horizontal="center" vertical="top" wrapText="1"/>
      <protection locked="0"/>
    </xf>
    <xf numFmtId="0" fontId="22" fillId="0" borderId="10" xfId="0" applyNumberFormat="1" applyFont="1" applyBorder="1" applyAlignment="1" applyProtection="1">
      <alignment horizontal="left" vertical="top" wrapText="1"/>
    </xf>
    <xf numFmtId="167" fontId="22" fillId="0" borderId="21" xfId="0" applyNumberFormat="1" applyFont="1" applyFill="1" applyBorder="1" applyAlignment="1" applyProtection="1">
      <alignment horizontal="center" vertical="top" wrapText="1"/>
    </xf>
    <xf numFmtId="167" fontId="22" fillId="0" borderId="19" xfId="0" applyNumberFormat="1" applyFont="1" applyFill="1" applyBorder="1" applyAlignment="1" applyProtection="1">
      <alignment horizontal="center" vertical="top" wrapText="1"/>
    </xf>
    <xf numFmtId="167" fontId="22" fillId="0" borderId="22" xfId="0" applyNumberFormat="1" applyFont="1" applyFill="1" applyBorder="1" applyAlignment="1" applyProtection="1">
      <alignment horizontal="center" vertical="top" wrapText="1"/>
    </xf>
    <xf numFmtId="0" fontId="22" fillId="0" borderId="23" xfId="0" applyFont="1" applyBorder="1" applyAlignment="1" applyProtection="1">
      <alignment horizontal="left" vertical="top" wrapText="1"/>
    </xf>
    <xf numFmtId="165" fontId="22" fillId="0" borderId="24" xfId="29" applyNumberFormat="1" applyFont="1" applyBorder="1" applyAlignment="1" applyProtection="1">
      <alignment horizontal="left" vertical="top" wrapText="1"/>
    </xf>
    <xf numFmtId="165" fontId="22" fillId="0" borderId="25" xfId="29" applyNumberFormat="1" applyFont="1" applyBorder="1" applyAlignment="1" applyProtection="1">
      <alignment horizontal="left" vertical="top" wrapText="1"/>
    </xf>
    <xf numFmtId="166" fontId="22" fillId="0" borderId="25" xfId="29" applyNumberFormat="1" applyFont="1" applyBorder="1" applyAlignment="1" applyProtection="1">
      <alignment vertical="top" wrapText="1"/>
    </xf>
    <xf numFmtId="166" fontId="22" fillId="0" borderId="26" xfId="29" applyNumberFormat="1" applyFont="1" applyBorder="1" applyAlignment="1" applyProtection="1">
      <alignment vertical="top" wrapText="1"/>
    </xf>
    <xf numFmtId="166" fontId="22" fillId="0" borderId="24" xfId="29" applyNumberFormat="1" applyFont="1" applyFill="1" applyBorder="1" applyAlignment="1" applyProtection="1">
      <alignment vertical="top" wrapText="1"/>
    </xf>
    <xf numFmtId="166" fontId="22" fillId="0" borderId="25" xfId="29" applyNumberFormat="1" applyFont="1" applyFill="1" applyBorder="1" applyAlignment="1" applyProtection="1">
      <alignment vertical="top" wrapText="1"/>
    </xf>
    <xf numFmtId="166" fontId="22" fillId="0" borderId="27" xfId="29" applyNumberFormat="1" applyFont="1" applyFill="1" applyBorder="1" applyAlignment="1" applyProtection="1">
      <alignment vertical="top" wrapText="1"/>
    </xf>
    <xf numFmtId="168" fontId="22" fillId="0" borderId="0" xfId="0" applyNumberFormat="1" applyFont="1" applyBorder="1" applyProtection="1"/>
    <xf numFmtId="168" fontId="22" fillId="0" borderId="0" xfId="29" applyNumberFormat="1" applyFont="1" applyProtection="1"/>
    <xf numFmtId="168" fontId="22" fillId="0" borderId="0" xfId="0" applyNumberFormat="1" applyFont="1" applyProtection="1"/>
    <xf numFmtId="0" fontId="23" fillId="0" borderId="29" xfId="0" applyFont="1" applyFill="1" applyBorder="1" applyAlignment="1">
      <alignment horizontal="center" vertical="center" wrapText="1"/>
    </xf>
    <xf numFmtId="0" fontId="23" fillId="0" borderId="47" xfId="0" applyFont="1" applyFill="1" applyBorder="1" applyAlignment="1">
      <alignment horizontal="centerContinuous" vertical="center" wrapText="1"/>
    </xf>
    <xf numFmtId="0" fontId="23" fillId="0" borderId="37" xfId="0" applyFont="1" applyFill="1" applyBorder="1" applyAlignment="1">
      <alignment horizontal="left"/>
    </xf>
    <xf numFmtId="0" fontId="23" fillId="0" borderId="64" xfId="0" applyFont="1" applyFill="1" applyBorder="1" applyAlignment="1">
      <alignment horizontal="center" vertical="center" wrapText="1"/>
    </xf>
    <xf numFmtId="0" fontId="24" fillId="0" borderId="14" xfId="0" applyFont="1" applyBorder="1" applyAlignment="1">
      <alignment horizontal="center"/>
    </xf>
    <xf numFmtId="0" fontId="22" fillId="0" borderId="19" xfId="0" applyFont="1" applyBorder="1"/>
    <xf numFmtId="0" fontId="22" fillId="0" borderId="20" xfId="0" applyFont="1" applyBorder="1"/>
    <xf numFmtId="0" fontId="22" fillId="0" borderId="21" xfId="0" applyFont="1" applyBorder="1"/>
    <xf numFmtId="0" fontId="22" fillId="0" borderId="22" xfId="0" applyFont="1" applyBorder="1"/>
    <xf numFmtId="171" fontId="22" fillId="0" borderId="21" xfId="0" applyNumberFormat="1" applyFont="1" applyFill="1" applyBorder="1"/>
    <xf numFmtId="0" fontId="22" fillId="24" borderId="19" xfId="0" applyFont="1" applyFill="1" applyBorder="1" applyAlignment="1" applyProtection="1">
      <alignment horizontal="center"/>
      <protection locked="0"/>
    </xf>
    <xf numFmtId="167" fontId="22" fillId="0" borderId="19" xfId="43" applyNumberFormat="1" applyFont="1" applyFill="1" applyBorder="1" applyAlignment="1" applyProtection="1">
      <alignment horizontal="center" vertical="top" wrapText="1"/>
    </xf>
    <xf numFmtId="167" fontId="22" fillId="0" borderId="20" xfId="43" applyNumberFormat="1" applyFont="1" applyFill="1" applyBorder="1" applyAlignment="1" applyProtection="1">
      <alignment horizontal="center" vertical="top" wrapText="1"/>
    </xf>
    <xf numFmtId="167" fontId="22" fillId="0" borderId="21" xfId="43" applyNumberFormat="1" applyFont="1" applyFill="1" applyBorder="1" applyAlignment="1" applyProtection="1">
      <alignment horizontal="center" vertical="top" wrapText="1"/>
    </xf>
    <xf numFmtId="9" fontId="22" fillId="0" borderId="14" xfId="43" applyFont="1" applyBorder="1" applyAlignment="1">
      <alignment horizontal="center"/>
    </xf>
    <xf numFmtId="9" fontId="22" fillId="0" borderId="45" xfId="43" applyFont="1" applyBorder="1" applyAlignment="1">
      <alignment horizontal="center"/>
    </xf>
    <xf numFmtId="167" fontId="22" fillId="24" borderId="24" xfId="43" applyNumberFormat="1" applyFont="1" applyFill="1" applyBorder="1" applyAlignment="1" applyProtection="1">
      <alignment horizontal="center" vertical="top" wrapText="1"/>
      <protection locked="0"/>
    </xf>
    <xf numFmtId="167" fontId="22" fillId="24" borderId="25" xfId="43" applyNumberFormat="1" applyFont="1" applyFill="1" applyBorder="1" applyAlignment="1" applyProtection="1">
      <alignment horizontal="center" vertical="top" wrapText="1"/>
      <protection locked="0"/>
    </xf>
    <xf numFmtId="167" fontId="22" fillId="0" borderId="25" xfId="43" applyNumberFormat="1" applyFont="1" applyFill="1" applyBorder="1" applyAlignment="1">
      <alignment horizontal="center" vertical="top" wrapText="1"/>
    </xf>
    <xf numFmtId="167" fontId="22" fillId="0" borderId="26" xfId="43" applyNumberFormat="1" applyFont="1" applyFill="1" applyBorder="1" applyAlignment="1">
      <alignment horizontal="center" vertical="top" wrapText="1"/>
    </xf>
    <xf numFmtId="167" fontId="22" fillId="0" borderId="27" xfId="43" applyNumberFormat="1" applyFont="1" applyFill="1" applyBorder="1" applyAlignment="1">
      <alignment horizontal="center" vertical="top" wrapText="1"/>
    </xf>
    <xf numFmtId="9" fontId="22" fillId="0" borderId="0" xfId="43" applyFont="1" applyBorder="1" applyAlignment="1">
      <alignment horizontal="center"/>
    </xf>
    <xf numFmtId="0" fontId="22" fillId="0" borderId="0" xfId="0" applyFont="1" applyBorder="1" applyAlignment="1">
      <alignment horizontal="left"/>
    </xf>
    <xf numFmtId="0" fontId="24" fillId="0" borderId="0" xfId="0" applyFont="1" applyBorder="1" applyAlignment="1">
      <alignment horizontal="center"/>
    </xf>
    <xf numFmtId="0" fontId="22" fillId="0" borderId="0" xfId="0" applyFont="1" applyBorder="1" applyAlignment="1"/>
    <xf numFmtId="171" fontId="22" fillId="0" borderId="0" xfId="0" applyNumberFormat="1" applyFont="1" applyBorder="1"/>
    <xf numFmtId="9" fontId="22" fillId="0" borderId="0" xfId="0" applyNumberFormat="1" applyFont="1" applyBorder="1" applyAlignment="1">
      <alignment horizontal="center"/>
    </xf>
    <xf numFmtId="0" fontId="24" fillId="0" borderId="0" xfId="0" applyFont="1" applyBorder="1" applyAlignment="1">
      <alignment horizontal="left"/>
    </xf>
    <xf numFmtId="0" fontId="22" fillId="0" borderId="58" xfId="0" applyFont="1" applyFill="1" applyBorder="1" applyAlignment="1">
      <alignment horizontal="center" vertical="center"/>
    </xf>
    <xf numFmtId="171" fontId="23" fillId="0" borderId="19" xfId="0" applyNumberFormat="1" applyFont="1" applyBorder="1"/>
    <xf numFmtId="0" fontId="22" fillId="24" borderId="10" xfId="0" applyFont="1" applyFill="1" applyBorder="1" applyAlignment="1" applyProtection="1">
      <alignment horizontal="left" indent="1"/>
      <protection locked="0"/>
    </xf>
    <xf numFmtId="171" fontId="22" fillId="24" borderId="15" xfId="0" applyNumberFormat="1" applyFont="1" applyFill="1" applyBorder="1" applyProtection="1">
      <protection locked="0"/>
    </xf>
    <xf numFmtId="171" fontId="22" fillId="24" borderId="16" xfId="0" applyNumberFormat="1" applyFont="1" applyFill="1" applyBorder="1" applyProtection="1">
      <protection locked="0"/>
    </xf>
    <xf numFmtId="171" fontId="22" fillId="0" borderId="16" xfId="0" applyNumberFormat="1" applyFont="1" applyBorder="1"/>
    <xf numFmtId="171" fontId="22" fillId="24" borderId="18" xfId="0" applyNumberFormat="1" applyFont="1" applyFill="1" applyBorder="1" applyProtection="1">
      <protection locked="0"/>
    </xf>
    <xf numFmtId="171" fontId="22" fillId="24" borderId="58" xfId="0" applyNumberFormat="1" applyFont="1" applyFill="1" applyBorder="1" applyProtection="1">
      <protection locked="0"/>
    </xf>
    <xf numFmtId="171" fontId="22" fillId="24" borderId="35" xfId="0" applyNumberFormat="1" applyFont="1" applyFill="1" applyBorder="1" applyProtection="1">
      <protection locked="0"/>
    </xf>
    <xf numFmtId="0" fontId="23" fillId="0" borderId="57" xfId="0" applyNumberFormat="1" applyFont="1" applyBorder="1" applyAlignment="1">
      <alignment vertical="center"/>
    </xf>
    <xf numFmtId="171" fontId="23" fillId="0" borderId="64" xfId="0" applyNumberFormat="1" applyFont="1" applyBorder="1"/>
    <xf numFmtId="0" fontId="24" fillId="0" borderId="10" xfId="0" applyNumberFormat="1" applyFont="1" applyBorder="1"/>
    <xf numFmtId="0" fontId="23" fillId="0" borderId="65" xfId="0" applyNumberFormat="1" applyFont="1" applyBorder="1" applyAlignment="1">
      <alignment horizontal="left"/>
    </xf>
    <xf numFmtId="0" fontId="23" fillId="0" borderId="54" xfId="0" applyNumberFormat="1" applyFont="1" applyBorder="1" applyAlignment="1">
      <alignment vertical="center"/>
    </xf>
    <xf numFmtId="0" fontId="26" fillId="0" borderId="0" xfId="0" applyFont="1" applyFill="1" applyBorder="1" applyAlignment="1">
      <alignment horizontal="left"/>
    </xf>
    <xf numFmtId="43" fontId="26" fillId="0" borderId="0" xfId="29" applyFont="1" applyBorder="1"/>
    <xf numFmtId="168" fontId="26" fillId="0" borderId="0" xfId="0" applyNumberFormat="1" applyFont="1" applyBorder="1"/>
    <xf numFmtId="0" fontId="22" fillId="0" borderId="10" xfId="0" applyNumberFormat="1" applyFont="1" applyBorder="1" applyAlignment="1">
      <alignment horizontal="left" indent="2"/>
    </xf>
    <xf numFmtId="0" fontId="23" fillId="0" borderId="10" xfId="0" quotePrefix="1" applyFont="1" applyBorder="1"/>
    <xf numFmtId="0" fontId="26" fillId="0" borderId="10" xfId="0" quotePrefix="1" applyFont="1" applyBorder="1" applyAlignment="1">
      <alignment horizontal="left" indent="1"/>
    </xf>
    <xf numFmtId="0" fontId="22" fillId="0" borderId="10" xfId="0" quotePrefix="1" applyFont="1" applyBorder="1" applyAlignment="1">
      <alignment horizontal="left" indent="1"/>
    </xf>
    <xf numFmtId="0" fontId="23" fillId="0" borderId="55" xfId="0" applyNumberFormat="1" applyFont="1" applyBorder="1" applyAlignment="1">
      <alignment horizontal="left"/>
    </xf>
    <xf numFmtId="0" fontId="23" fillId="0" borderId="10" xfId="0" applyFont="1" applyBorder="1" applyAlignment="1">
      <alignment horizontal="left" indent="2"/>
    </xf>
    <xf numFmtId="0" fontId="23" fillId="0" borderId="10" xfId="0" quotePrefix="1" applyFont="1" applyBorder="1" applyAlignment="1">
      <alignment horizontal="left" indent="1"/>
    </xf>
    <xf numFmtId="0" fontId="22" fillId="0" borderId="10" xfId="0" quotePrefix="1" applyFont="1" applyBorder="1" applyAlignment="1">
      <alignment horizontal="left" indent="2"/>
    </xf>
    <xf numFmtId="0" fontId="23" fillId="0" borderId="0" xfId="0" applyFont="1" applyBorder="1"/>
    <xf numFmtId="171" fontId="23" fillId="0" borderId="0" xfId="0" applyNumberFormat="1" applyFont="1" applyBorder="1"/>
    <xf numFmtId="0" fontId="23" fillId="0" borderId="6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Border="1" applyAlignment="1">
      <alignment horizontal="center" wrapText="1"/>
    </xf>
    <xf numFmtId="9" fontId="22" fillId="0" borderId="63" xfId="43" applyFont="1" applyFill="1" applyBorder="1" applyAlignment="1">
      <alignment horizontal="center" vertical="center"/>
    </xf>
    <xf numFmtId="0" fontId="22" fillId="0" borderId="63" xfId="0" applyFont="1" applyFill="1" applyBorder="1" applyAlignment="1">
      <alignment horizontal="center" vertical="center"/>
    </xf>
    <xf numFmtId="0" fontId="24" fillId="0" borderId="65" xfId="0" applyFont="1" applyBorder="1"/>
    <xf numFmtId="171" fontId="22" fillId="0" borderId="21" xfId="0" applyNumberFormat="1" applyFont="1" applyBorder="1"/>
    <xf numFmtId="171" fontId="22" fillId="26" borderId="20" xfId="0" applyNumberFormat="1" applyFont="1" applyFill="1" applyBorder="1"/>
    <xf numFmtId="167" fontId="22" fillId="0" borderId="14" xfId="43" applyNumberFormat="1" applyFont="1" applyBorder="1" applyAlignment="1">
      <alignment horizontal="center"/>
    </xf>
    <xf numFmtId="171" fontId="23" fillId="26" borderId="16" xfId="0" applyNumberFormat="1" applyFont="1" applyFill="1" applyBorder="1"/>
    <xf numFmtId="167" fontId="23" fillId="0" borderId="14" xfId="43" applyNumberFormat="1" applyFont="1" applyBorder="1" applyAlignment="1">
      <alignment horizontal="center"/>
    </xf>
    <xf numFmtId="171" fontId="23" fillId="26" borderId="36" xfId="0" applyNumberFormat="1" applyFont="1" applyFill="1" applyBorder="1"/>
    <xf numFmtId="171" fontId="23" fillId="26" borderId="20" xfId="0" applyNumberFormat="1" applyFont="1" applyFill="1" applyBorder="1"/>
    <xf numFmtId="171" fontId="23" fillId="26" borderId="21" xfId="0" applyNumberFormat="1" applyFont="1" applyFill="1" applyBorder="1"/>
    <xf numFmtId="171" fontId="23" fillId="0" borderId="21" xfId="0" applyNumberFormat="1" applyFont="1" applyBorder="1"/>
    <xf numFmtId="171" fontId="23" fillId="0" borderId="38" xfId="0" applyNumberFormat="1" applyFont="1" applyBorder="1"/>
    <xf numFmtId="171" fontId="23" fillId="0" borderId="63" xfId="0" applyNumberFormat="1" applyFont="1" applyBorder="1"/>
    <xf numFmtId="171" fontId="23" fillId="0" borderId="62" xfId="0" applyNumberFormat="1" applyFont="1" applyBorder="1"/>
    <xf numFmtId="171" fontId="22" fillId="0" borderId="18" xfId="0" applyNumberFormat="1" applyFont="1" applyBorder="1"/>
    <xf numFmtId="0" fontId="23" fillId="0" borderId="23" xfId="0" applyNumberFormat="1" applyFont="1" applyBorder="1" applyAlignment="1">
      <alignment vertical="center" wrapText="1"/>
    </xf>
    <xf numFmtId="171" fontId="23" fillId="0" borderId="17" xfId="0" applyNumberFormat="1" applyFont="1" applyBorder="1"/>
    <xf numFmtId="171" fontId="23" fillId="0" borderId="67" xfId="0" applyNumberFormat="1" applyFont="1" applyBorder="1"/>
    <xf numFmtId="167" fontId="23" fillId="0" borderId="45" xfId="43" applyNumberFormat="1" applyFont="1" applyBorder="1" applyAlignment="1">
      <alignment horizontal="center"/>
    </xf>
    <xf numFmtId="168" fontId="26" fillId="0" borderId="0" xfId="0" applyNumberFormat="1" applyFont="1" applyBorder="1" applyAlignment="1">
      <alignment horizontal="center"/>
    </xf>
    <xf numFmtId="0" fontId="26" fillId="0" borderId="0" xfId="0" applyFont="1" applyBorder="1" applyAlignment="1">
      <alignment horizontal="center" vertical="top" wrapText="1"/>
    </xf>
    <xf numFmtId="168" fontId="25" fillId="0" borderId="0" xfId="0" applyNumberFormat="1" applyFont="1" applyBorder="1" applyAlignment="1">
      <alignment horizontal="center"/>
    </xf>
    <xf numFmtId="0" fontId="23" fillId="0" borderId="31" xfId="0" applyFont="1" applyFill="1" applyBorder="1" applyAlignment="1">
      <alignment horizontal="centerContinuous" vertical="center" wrapText="1"/>
    </xf>
    <xf numFmtId="0" fontId="23" fillId="0" borderId="29" xfId="0" applyFont="1" applyFill="1" applyBorder="1" applyAlignment="1">
      <alignment horizontal="centerContinuous" vertical="center" wrapText="1"/>
    </xf>
    <xf numFmtId="0" fontId="23" fillId="0" borderId="30" xfId="0" applyFont="1" applyFill="1" applyBorder="1" applyAlignment="1">
      <alignment horizontal="centerContinuous" vertical="center" wrapText="1"/>
    </xf>
    <xf numFmtId="0" fontId="23" fillId="0" borderId="32" xfId="0" applyFont="1" applyFill="1" applyBorder="1" applyAlignment="1">
      <alignment horizontal="centerContinuous" vertical="center" wrapText="1"/>
    </xf>
    <xf numFmtId="9" fontId="23" fillId="0" borderId="64" xfId="43" applyFont="1" applyFill="1" applyBorder="1" applyAlignment="1">
      <alignment horizontal="center" vertical="center" wrapText="1"/>
    </xf>
    <xf numFmtId="9" fontId="23" fillId="0" borderId="62" xfId="43" applyFont="1" applyFill="1" applyBorder="1" applyAlignment="1">
      <alignment horizontal="center" vertical="center" wrapText="1"/>
    </xf>
    <xf numFmtId="9" fontId="23" fillId="0" borderId="43" xfId="43" applyFont="1" applyFill="1" applyBorder="1" applyAlignment="1">
      <alignment horizontal="center" vertical="center" wrapText="1"/>
    </xf>
    <xf numFmtId="0" fontId="23" fillId="0" borderId="41" xfId="0" applyFont="1" applyFill="1" applyBorder="1" applyAlignment="1">
      <alignment horizontal="center" vertical="center" wrapText="1"/>
    </xf>
    <xf numFmtId="0" fontId="23" fillId="0" borderId="10" xfId="0" applyFont="1" applyFill="1" applyBorder="1" applyAlignment="1">
      <alignment horizontal="left"/>
    </xf>
    <xf numFmtId="0" fontId="23" fillId="0" borderId="48" xfId="0" applyFont="1" applyFill="1" applyBorder="1" applyAlignment="1">
      <alignment horizontal="center" vertical="top" wrapText="1"/>
    </xf>
    <xf numFmtId="0" fontId="23" fillId="0" borderId="58" xfId="0" applyFont="1" applyFill="1" applyBorder="1" applyAlignment="1">
      <alignment horizontal="center" vertical="top" wrapText="1"/>
    </xf>
    <xf numFmtId="0" fontId="23" fillId="0" borderId="63" xfId="0" applyFont="1" applyFill="1" applyBorder="1" applyAlignment="1">
      <alignment horizontal="center" vertical="top" wrapText="1"/>
    </xf>
    <xf numFmtId="0" fontId="23" fillId="0" borderId="40" xfId="0" applyFont="1" applyFill="1" applyBorder="1" applyAlignment="1">
      <alignment horizontal="center" vertical="top" wrapText="1"/>
    </xf>
    <xf numFmtId="171" fontId="22" fillId="0" borderId="14" xfId="0" applyNumberFormat="1" applyFont="1" applyBorder="1"/>
    <xf numFmtId="0" fontId="23" fillId="0" borderId="14" xfId="0" applyFont="1" applyBorder="1"/>
    <xf numFmtId="171" fontId="23" fillId="0" borderId="49" xfId="0" applyNumberFormat="1" applyFont="1" applyBorder="1"/>
    <xf numFmtId="171" fontId="23" fillId="0" borderId="55" xfId="0" applyNumberFormat="1" applyFont="1" applyBorder="1"/>
    <xf numFmtId="0" fontId="27" fillId="0" borderId="0" xfId="0" applyFont="1" applyBorder="1" applyAlignment="1">
      <alignment vertical="center" wrapText="1"/>
    </xf>
    <xf numFmtId="168" fontId="23" fillId="0" borderId="0" xfId="0" applyNumberFormat="1" applyFont="1" applyFill="1" applyBorder="1"/>
    <xf numFmtId="165" fontId="26" fillId="0" borderId="0" xfId="29" applyNumberFormat="1" applyFont="1"/>
    <xf numFmtId="0" fontId="23" fillId="0" borderId="14"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3" fillId="0" borderId="21" xfId="0" applyFont="1" applyFill="1" applyBorder="1" applyAlignment="1">
      <alignment horizontal="center" vertical="top" wrapText="1"/>
    </xf>
    <xf numFmtId="0" fontId="23" fillId="0" borderId="22" xfId="0" applyFont="1" applyFill="1" applyBorder="1" applyAlignment="1">
      <alignment horizontal="center" vertical="top" wrapText="1"/>
    </xf>
    <xf numFmtId="0" fontId="24" fillId="0" borderId="49" xfId="0" applyFont="1" applyBorder="1"/>
    <xf numFmtId="0" fontId="22" fillId="0" borderId="65" xfId="0" applyFont="1" applyBorder="1" applyAlignment="1">
      <alignment horizontal="left" indent="1"/>
    </xf>
    <xf numFmtId="171" fontId="22" fillId="0" borderId="17" xfId="0" applyNumberFormat="1" applyFont="1" applyBorder="1"/>
    <xf numFmtId="171" fontId="22" fillId="0" borderId="49" xfId="0" applyNumberFormat="1" applyFont="1" applyBorder="1"/>
    <xf numFmtId="171" fontId="23" fillId="0" borderId="14" xfId="0" applyNumberFormat="1" applyFont="1" applyBorder="1"/>
    <xf numFmtId="171" fontId="22" fillId="24" borderId="21" xfId="29" applyNumberFormat="1" applyFont="1" applyFill="1" applyBorder="1" applyProtection="1">
      <protection locked="0"/>
    </xf>
    <xf numFmtId="171" fontId="22" fillId="24" borderId="19" xfId="29" applyNumberFormat="1" applyFont="1" applyFill="1" applyBorder="1" applyProtection="1">
      <protection locked="0"/>
    </xf>
    <xf numFmtId="0" fontId="28" fillId="0" borderId="0" xfId="0" applyFont="1" applyBorder="1" applyAlignment="1">
      <alignment vertical="center" wrapText="1"/>
    </xf>
    <xf numFmtId="0" fontId="23" fillId="0" borderId="48" xfId="0" applyFont="1" applyFill="1" applyBorder="1" applyAlignment="1">
      <alignment horizontal="left"/>
    </xf>
    <xf numFmtId="0" fontId="24" fillId="0" borderId="14" xfId="0" applyFont="1" applyBorder="1" applyAlignment="1">
      <alignment horizontal="left"/>
    </xf>
    <xf numFmtId="171" fontId="23" fillId="0" borderId="41" xfId="0" applyNumberFormat="1" applyFont="1" applyBorder="1"/>
    <xf numFmtId="0" fontId="23" fillId="0" borderId="14" xfId="0" applyFont="1" applyFill="1" applyBorder="1" applyAlignment="1">
      <alignment horizontal="left"/>
    </xf>
    <xf numFmtId="0" fontId="22" fillId="0" borderId="10" xfId="0" applyFont="1" applyBorder="1" applyAlignment="1"/>
    <xf numFmtId="0" fontId="23" fillId="0" borderId="65" xfId="0" applyFont="1" applyBorder="1"/>
    <xf numFmtId="0" fontId="22" fillId="0" borderId="65" xfId="0" applyFont="1" applyFill="1" applyBorder="1"/>
    <xf numFmtId="0" fontId="22" fillId="0" borderId="68" xfId="0" applyFont="1" applyBorder="1"/>
    <xf numFmtId="171" fontId="23" fillId="0" borderId="48" xfId="0" applyNumberFormat="1" applyFont="1" applyBorder="1"/>
    <xf numFmtId="0" fontId="22" fillId="0" borderId="23" xfId="0" applyFont="1" applyFill="1" applyBorder="1" applyAlignment="1">
      <alignment horizontal="left" indent="1"/>
    </xf>
    <xf numFmtId="171" fontId="22" fillId="0" borderId="24" xfId="0" applyNumberFormat="1" applyFont="1" applyBorder="1"/>
    <xf numFmtId="171" fontId="22" fillId="0" borderId="26" xfId="0" applyNumberFormat="1" applyFont="1" applyBorder="1"/>
    <xf numFmtId="171" fontId="22" fillId="0" borderId="45" xfId="0" applyNumberFormat="1" applyFont="1" applyBorder="1"/>
    <xf numFmtId="0" fontId="23" fillId="0" borderId="61" xfId="0" applyFont="1" applyFill="1" applyBorder="1" applyAlignment="1">
      <alignment horizontal="centerContinuous" vertical="center" wrapText="1"/>
    </xf>
    <xf numFmtId="171" fontId="23" fillId="0" borderId="35" xfId="0" applyNumberFormat="1" applyFont="1" applyFill="1" applyBorder="1"/>
    <xf numFmtId="171" fontId="23" fillId="0" borderId="16" xfId="0" applyNumberFormat="1" applyFont="1" applyFill="1" applyBorder="1"/>
    <xf numFmtId="171" fontId="23" fillId="0" borderId="17" xfId="0" applyNumberFormat="1" applyFont="1" applyFill="1" applyBorder="1"/>
    <xf numFmtId="171" fontId="23" fillId="0" borderId="15" xfId="0" applyNumberFormat="1" applyFont="1" applyFill="1" applyBorder="1"/>
    <xf numFmtId="171" fontId="22" fillId="0" borderId="18" xfId="0" applyNumberFormat="1" applyFont="1" applyFill="1" applyBorder="1"/>
    <xf numFmtId="171" fontId="22" fillId="0" borderId="49" xfId="0" applyNumberFormat="1" applyFont="1" applyFill="1" applyBorder="1"/>
    <xf numFmtId="171" fontId="22" fillId="0" borderId="15" xfId="0" applyNumberFormat="1" applyFont="1" applyFill="1" applyBorder="1"/>
    <xf numFmtId="171" fontId="22" fillId="0" borderId="16" xfId="0" applyNumberFormat="1" applyFont="1" applyFill="1" applyBorder="1"/>
    <xf numFmtId="171" fontId="22" fillId="0" borderId="19" xfId="0" applyNumberFormat="1" applyFont="1" applyFill="1" applyBorder="1" applyProtection="1">
      <protection locked="0"/>
    </xf>
    <xf numFmtId="171" fontId="22" fillId="0" borderId="21" xfId="0" applyNumberFormat="1" applyFont="1" applyFill="1" applyBorder="1" applyProtection="1">
      <protection locked="0"/>
    </xf>
    <xf numFmtId="0" fontId="23" fillId="0" borderId="54" xfId="0" applyFont="1" applyBorder="1" applyAlignment="1">
      <alignment vertical="center" wrapText="1"/>
    </xf>
    <xf numFmtId="0" fontId="23" fillId="0" borderId="54" xfId="0" applyFont="1" applyBorder="1" applyAlignment="1">
      <alignment horizontal="left" indent="1"/>
    </xf>
    <xf numFmtId="0" fontId="27" fillId="0" borderId="0" xfId="0" applyFont="1" applyFill="1" applyBorder="1" applyAlignment="1">
      <alignment vertical="center" wrapText="1"/>
    </xf>
    <xf numFmtId="0" fontId="28" fillId="0" borderId="0" xfId="0" applyFont="1" applyFill="1" applyBorder="1" applyAlignment="1">
      <alignment vertical="center" wrapText="1"/>
    </xf>
    <xf numFmtId="0" fontId="23" fillId="0" borderId="69" xfId="0" applyFont="1" applyFill="1" applyBorder="1" applyAlignment="1">
      <alignment horizontal="centerContinuous" vertical="center" wrapText="1"/>
    </xf>
    <xf numFmtId="0" fontId="22" fillId="0" borderId="10" xfId="0" applyNumberFormat="1" applyFont="1" applyBorder="1" applyAlignment="1">
      <alignment horizontal="left" indent="1"/>
    </xf>
    <xf numFmtId="0" fontId="26" fillId="0" borderId="10" xfId="0" applyNumberFormat="1" applyFont="1" applyBorder="1" applyAlignment="1">
      <alignment horizontal="left" indent="2"/>
    </xf>
    <xf numFmtId="0" fontId="22" fillId="0" borderId="10" xfId="0" applyNumberFormat="1" applyFont="1" applyFill="1" applyBorder="1" applyAlignment="1">
      <alignment horizontal="left" indent="1"/>
    </xf>
    <xf numFmtId="0" fontId="26" fillId="0" borderId="10" xfId="0" applyFont="1" applyBorder="1" applyAlignment="1">
      <alignment horizontal="left" indent="2"/>
    </xf>
    <xf numFmtId="0" fontId="28" fillId="0" borderId="0" xfId="0" applyFont="1" applyBorder="1"/>
    <xf numFmtId="0" fontId="21" fillId="0" borderId="11" xfId="0" applyFont="1" applyFill="1" applyBorder="1" applyAlignment="1">
      <alignment horizontal="left"/>
    </xf>
    <xf numFmtId="0" fontId="21" fillId="0" borderId="11" xfId="0" applyFont="1" applyFill="1" applyBorder="1" applyAlignment="1">
      <alignment horizontal="center"/>
    </xf>
    <xf numFmtId="0" fontId="23" fillId="0" borderId="24" xfId="0" applyFont="1" applyFill="1" applyBorder="1" applyAlignment="1">
      <alignment horizontal="center" vertical="top" wrapText="1"/>
    </xf>
    <xf numFmtId="0" fontId="23" fillId="0" borderId="26" xfId="0" applyFont="1" applyFill="1" applyBorder="1" applyAlignment="1">
      <alignment horizontal="center" vertical="top" wrapText="1"/>
    </xf>
    <xf numFmtId="0" fontId="23" fillId="0" borderId="27" xfId="0" applyFont="1" applyFill="1" applyBorder="1" applyAlignment="1">
      <alignment horizontal="center" vertical="top" wrapText="1"/>
    </xf>
    <xf numFmtId="0" fontId="23" fillId="0" borderId="28" xfId="0" applyNumberFormat="1" applyFont="1" applyFill="1" applyBorder="1"/>
    <xf numFmtId="0" fontId="23" fillId="0" borderId="30" xfId="0" applyNumberFormat="1" applyFont="1" applyFill="1" applyBorder="1" applyAlignment="1">
      <alignment horizontal="center"/>
    </xf>
    <xf numFmtId="172" fontId="23" fillId="0" borderId="30" xfId="29" applyNumberFormat="1" applyFont="1" applyFill="1" applyBorder="1" applyAlignment="1">
      <alignment horizontal="center"/>
    </xf>
    <xf numFmtId="0" fontId="26" fillId="0" borderId="30" xfId="0" applyNumberFormat="1" applyFont="1" applyFill="1" applyBorder="1" applyAlignment="1">
      <alignment horizontal="center"/>
    </xf>
    <xf numFmtId="171" fontId="23" fillId="0" borderId="29" xfId="0" applyNumberFormat="1" applyFont="1" applyFill="1" applyBorder="1" applyAlignment="1">
      <alignment horizontal="center"/>
    </xf>
    <xf numFmtId="171" fontId="23" fillId="0" borderId="31" xfId="0" applyNumberFormat="1" applyFont="1" applyFill="1" applyBorder="1" applyAlignment="1">
      <alignment horizontal="center"/>
    </xf>
    <xf numFmtId="171" fontId="23" fillId="0" borderId="32" xfId="0" applyNumberFormat="1" applyFont="1" applyFill="1" applyBorder="1" applyAlignment="1">
      <alignment horizontal="center"/>
    </xf>
    <xf numFmtId="171" fontId="23" fillId="0" borderId="61" xfId="0" applyNumberFormat="1" applyFont="1" applyFill="1" applyBorder="1" applyAlignment="1">
      <alignment horizontal="center"/>
    </xf>
    <xf numFmtId="0" fontId="26" fillId="24" borderId="10" xfId="0" applyNumberFormat="1" applyFont="1" applyFill="1" applyBorder="1" applyAlignment="1" applyProtection="1">
      <alignment horizontal="left" indent="1"/>
      <protection locked="0"/>
    </xf>
    <xf numFmtId="0" fontId="23" fillId="24" borderId="20" xfId="0" applyNumberFormat="1" applyFont="1" applyFill="1" applyBorder="1" applyAlignment="1" applyProtection="1">
      <alignment horizontal="center"/>
      <protection locked="0"/>
    </xf>
    <xf numFmtId="172" fontId="23" fillId="24" borderId="20" xfId="29" applyNumberFormat="1" applyFont="1" applyFill="1" applyBorder="1" applyAlignment="1" applyProtection="1">
      <alignment horizontal="center"/>
      <protection locked="0"/>
    </xf>
    <xf numFmtId="171" fontId="23" fillId="24" borderId="19" xfId="0" applyNumberFormat="1" applyFont="1" applyFill="1" applyBorder="1" applyAlignment="1" applyProtection="1">
      <alignment horizontal="center"/>
      <protection locked="0"/>
    </xf>
    <xf numFmtId="171" fontId="23" fillId="24" borderId="21" xfId="0" applyNumberFormat="1" applyFont="1" applyFill="1" applyBorder="1" applyAlignment="1" applyProtection="1">
      <alignment horizontal="center"/>
      <protection locked="0"/>
    </xf>
    <xf numFmtId="171" fontId="23" fillId="24" borderId="22" xfId="0" applyNumberFormat="1" applyFont="1" applyFill="1" applyBorder="1" applyAlignment="1" applyProtection="1">
      <alignment horizontal="center"/>
      <protection locked="0"/>
    </xf>
    <xf numFmtId="171" fontId="23" fillId="24" borderId="36" xfId="0" applyNumberFormat="1" applyFont="1" applyFill="1" applyBorder="1" applyAlignment="1" applyProtection="1">
      <alignment horizontal="center"/>
      <protection locked="0"/>
    </xf>
    <xf numFmtId="0" fontId="22" fillId="24" borderId="10" xfId="0" applyNumberFormat="1" applyFont="1" applyFill="1" applyBorder="1" applyAlignment="1" applyProtection="1">
      <alignment horizontal="left" indent="1"/>
      <protection locked="0"/>
    </xf>
    <xf numFmtId="0" fontId="22" fillId="24" borderId="20" xfId="0" applyNumberFormat="1" applyFont="1" applyFill="1" applyBorder="1" applyProtection="1">
      <protection locked="0"/>
    </xf>
    <xf numFmtId="172" fontId="22" fillId="24" borderId="20" xfId="29" applyNumberFormat="1" applyFont="1" applyFill="1" applyBorder="1" applyAlignment="1" applyProtection="1">
      <alignment horizontal="center"/>
      <protection locked="0"/>
    </xf>
    <xf numFmtId="0" fontId="23" fillId="24" borderId="37" xfId="0" applyNumberFormat="1" applyFont="1" applyFill="1" applyBorder="1" applyAlignment="1" applyProtection="1">
      <alignment horizontal="left" indent="1"/>
      <protection locked="0"/>
    </xf>
    <xf numFmtId="0" fontId="22" fillId="24" borderId="39" xfId="0" applyNumberFormat="1" applyFont="1" applyFill="1" applyBorder="1" applyProtection="1">
      <protection locked="0"/>
    </xf>
    <xf numFmtId="172" fontId="22" fillId="24" borderId="39" xfId="29" applyNumberFormat="1" applyFont="1" applyFill="1" applyBorder="1" applyAlignment="1" applyProtection="1">
      <alignment horizontal="center"/>
      <protection locked="0"/>
    </xf>
    <xf numFmtId="171" fontId="22" fillId="24" borderId="63" xfId="0" applyNumberFormat="1" applyFont="1" applyFill="1" applyBorder="1" applyProtection="1">
      <protection locked="0"/>
    </xf>
    <xf numFmtId="0" fontId="23" fillId="0" borderId="10" xfId="0" applyNumberFormat="1" applyFont="1" applyFill="1" applyBorder="1"/>
    <xf numFmtId="0" fontId="22" fillId="0" borderId="20" xfId="0" applyNumberFormat="1" applyFont="1" applyFill="1" applyBorder="1"/>
    <xf numFmtId="172" fontId="22" fillId="0" borderId="20" xfId="29" applyNumberFormat="1" applyFont="1" applyFill="1" applyBorder="1" applyAlignment="1">
      <alignment horizontal="center"/>
    </xf>
    <xf numFmtId="171" fontId="22" fillId="0" borderId="19" xfId="0" applyNumberFormat="1" applyFont="1" applyFill="1" applyBorder="1"/>
    <xf numFmtId="0" fontId="23" fillId="24" borderId="10" xfId="0" applyNumberFormat="1" applyFont="1" applyFill="1" applyBorder="1" applyAlignment="1" applyProtection="1">
      <alignment horizontal="left" indent="1"/>
      <protection locked="0"/>
    </xf>
    <xf numFmtId="0" fontId="22" fillId="24" borderId="23" xfId="0" applyNumberFormat="1" applyFont="1" applyFill="1" applyBorder="1" applyAlignment="1" applyProtection="1">
      <alignment horizontal="left" indent="1"/>
      <protection locked="0"/>
    </xf>
    <xf numFmtId="0" fontId="22" fillId="24" borderId="25" xfId="0" applyNumberFormat="1" applyFont="1" applyFill="1" applyBorder="1" applyProtection="1">
      <protection locked="0"/>
    </xf>
    <xf numFmtId="172" fontId="22" fillId="24" borderId="25" xfId="29" applyNumberFormat="1" applyFont="1" applyFill="1" applyBorder="1" applyAlignment="1" applyProtection="1">
      <alignment horizontal="center"/>
      <protection locked="0"/>
    </xf>
    <xf numFmtId="171" fontId="22" fillId="24" borderId="26" xfId="0" applyNumberFormat="1" applyFont="1" applyFill="1" applyBorder="1" applyProtection="1">
      <protection locked="0"/>
    </xf>
    <xf numFmtId="0" fontId="27" fillId="0" borderId="0" xfId="0" applyNumberFormat="1" applyFont="1" applyBorder="1"/>
    <xf numFmtId="0" fontId="26" fillId="0" borderId="0" xfId="0" applyNumberFormat="1" applyFont="1" applyBorder="1"/>
    <xf numFmtId="9" fontId="23" fillId="0" borderId="21" xfId="43" applyFont="1" applyFill="1" applyBorder="1" applyAlignment="1">
      <alignment horizontal="center" vertical="center" wrapText="1"/>
    </xf>
    <xf numFmtId="9" fontId="23" fillId="0" borderId="22" xfId="43" applyFont="1" applyFill="1" applyBorder="1" applyAlignment="1">
      <alignment horizontal="center" vertical="center" wrapText="1"/>
    </xf>
    <xf numFmtId="0" fontId="22" fillId="0" borderId="14" xfId="0" applyFont="1" applyFill="1" applyBorder="1" applyAlignment="1" applyProtection="1">
      <alignment horizontal="center"/>
      <protection locked="0"/>
    </xf>
    <xf numFmtId="0" fontId="22" fillId="0" borderId="14" xfId="0" applyNumberFormat="1" applyFont="1" applyBorder="1" applyAlignment="1">
      <alignment horizontal="left" indent="1"/>
    </xf>
    <xf numFmtId="0" fontId="23" fillId="0" borderId="14" xfId="0" applyFont="1" applyFill="1" applyBorder="1" applyAlignment="1">
      <alignment wrapText="1"/>
    </xf>
    <xf numFmtId="0" fontId="26" fillId="0" borderId="0" xfId="0" applyFont="1" applyBorder="1" applyAlignment="1" applyProtection="1">
      <alignment horizontal="left"/>
    </xf>
    <xf numFmtId="171" fontId="23" fillId="0" borderId="42" xfId="0" applyNumberFormat="1" applyFont="1" applyBorder="1" applyAlignment="1">
      <alignment vertical="top"/>
    </xf>
    <xf numFmtId="171" fontId="23" fillId="0" borderId="43" xfId="0" applyNumberFormat="1" applyFont="1" applyBorder="1" applyAlignment="1">
      <alignment vertical="top"/>
    </xf>
    <xf numFmtId="171" fontId="23" fillId="0" borderId="44" xfId="0" applyNumberFormat="1" applyFont="1" applyBorder="1" applyAlignment="1">
      <alignment vertical="top"/>
    </xf>
    <xf numFmtId="0" fontId="23" fillId="0" borderId="57" xfId="0" applyFont="1" applyBorder="1" applyAlignment="1">
      <alignment vertical="top" wrapText="1"/>
    </xf>
    <xf numFmtId="0" fontId="22" fillId="0" borderId="41" xfId="0" applyFont="1" applyBorder="1" applyAlignment="1">
      <alignment horizontal="center" vertical="top"/>
    </xf>
    <xf numFmtId="0" fontId="26" fillId="0" borderId="0" xfId="0" quotePrefix="1" applyFont="1" applyBorder="1" applyProtection="1"/>
    <xf numFmtId="0" fontId="27" fillId="0" borderId="0" xfId="0" applyFont="1" applyFill="1" applyBorder="1"/>
    <xf numFmtId="0" fontId="27" fillId="0" borderId="0" xfId="0" applyFont="1" applyBorder="1" applyAlignment="1" applyProtection="1">
      <alignment horizontal="left"/>
    </xf>
    <xf numFmtId="0" fontId="22" fillId="0" borderId="19" xfId="0" applyNumberFormat="1" applyFont="1" applyBorder="1" applyAlignment="1">
      <alignment horizontal="center"/>
    </xf>
    <xf numFmtId="0" fontId="19" fillId="27" borderId="28" xfId="0" applyFont="1" applyFill="1" applyBorder="1"/>
    <xf numFmtId="0" fontId="19" fillId="27" borderId="46" xfId="0" applyFont="1" applyFill="1" applyBorder="1" applyAlignment="1">
      <alignment horizontal="left"/>
    </xf>
    <xf numFmtId="0" fontId="19" fillId="27" borderId="60" xfId="0" applyFont="1" applyFill="1" applyBorder="1" applyAlignment="1">
      <alignment horizontal="left"/>
    </xf>
    <xf numFmtId="0" fontId="19" fillId="27" borderId="28" xfId="0" applyFont="1" applyFill="1" applyBorder="1" applyAlignment="1">
      <alignment horizontal="left"/>
    </xf>
    <xf numFmtId="0" fontId="20" fillId="28" borderId="0" xfId="0" applyFont="1" applyFill="1"/>
    <xf numFmtId="0" fontId="17" fillId="0" borderId="10" xfId="0" applyFont="1" applyBorder="1"/>
    <xf numFmtId="0" fontId="17" fillId="0" borderId="0" xfId="0" applyFont="1" applyBorder="1"/>
    <xf numFmtId="0" fontId="17" fillId="0" borderId="0" xfId="0" applyFont="1"/>
    <xf numFmtId="0" fontId="17" fillId="0" borderId="0" xfId="0" quotePrefix="1" applyFont="1" applyBorder="1"/>
    <xf numFmtId="0" fontId="17" fillId="0" borderId="14" xfId="0" applyFont="1" applyBorder="1"/>
    <xf numFmtId="0" fontId="17" fillId="0" borderId="14" xfId="0" quotePrefix="1" applyFont="1" applyBorder="1"/>
    <xf numFmtId="0" fontId="17" fillId="0" borderId="23" xfId="0" applyFont="1" applyBorder="1"/>
    <xf numFmtId="0" fontId="17" fillId="0" borderId="11" xfId="0" applyFont="1" applyBorder="1"/>
    <xf numFmtId="0" fontId="17" fillId="0" borderId="45" xfId="0" applyFont="1" applyBorder="1"/>
    <xf numFmtId="0" fontId="35" fillId="0" borderId="0" xfId="0" applyFont="1"/>
    <xf numFmtId="0" fontId="17" fillId="0" borderId="14" xfId="0" applyFont="1" applyBorder="1" applyAlignment="1">
      <alignment horizontal="center"/>
    </xf>
    <xf numFmtId="0" fontId="17" fillId="0" borderId="70" xfId="0" applyFont="1" applyBorder="1"/>
    <xf numFmtId="0" fontId="17" fillId="0" borderId="70" xfId="0" applyFont="1" applyBorder="1" applyAlignment="1">
      <alignment horizontal="center"/>
    </xf>
    <xf numFmtId="0" fontId="17" fillId="0" borderId="10" xfId="0" quotePrefix="1" applyFont="1" applyBorder="1"/>
    <xf numFmtId="0" fontId="17" fillId="0" borderId="0" xfId="0" applyFont="1" applyAlignment="1">
      <alignment horizontal="center"/>
    </xf>
    <xf numFmtId="0" fontId="19" fillId="29" borderId="71" xfId="0" applyFont="1" applyFill="1" applyBorder="1" applyAlignment="1">
      <alignment horizontal="center"/>
    </xf>
    <xf numFmtId="0" fontId="36" fillId="29" borderId="0" xfId="0" applyFont="1" applyFill="1"/>
    <xf numFmtId="0" fontId="17" fillId="0" borderId="70" xfId="0" applyFont="1" applyFill="1" applyBorder="1" applyAlignment="1">
      <alignment horizontal="center"/>
    </xf>
    <xf numFmtId="0" fontId="17" fillId="0" borderId="0" xfId="0" applyFont="1" applyFill="1" applyBorder="1"/>
    <xf numFmtId="0" fontId="17" fillId="0" borderId="0" xfId="0" applyFont="1" applyFill="1"/>
    <xf numFmtId="0" fontId="17" fillId="0" borderId="45" xfId="0" applyFont="1" applyBorder="1" applyAlignment="1">
      <alignment horizontal="center"/>
    </xf>
    <xf numFmtId="0" fontId="17" fillId="0" borderId="72" xfId="0" applyFont="1" applyBorder="1" applyAlignment="1">
      <alignment horizontal="center"/>
    </xf>
    <xf numFmtId="0" fontId="17" fillId="0" borderId="0" xfId="0" applyFont="1" applyBorder="1" applyAlignment="1">
      <alignment horizontal="center"/>
    </xf>
    <xf numFmtId="0" fontId="0" fillId="0" borderId="0" xfId="0" applyProtection="1">
      <protection locked="0"/>
    </xf>
    <xf numFmtId="0" fontId="17" fillId="24" borderId="0" xfId="0" applyFont="1" applyFill="1" applyProtection="1">
      <protection locked="0"/>
    </xf>
    <xf numFmtId="0" fontId="17" fillId="0" borderId="0" xfId="0" applyFont="1" applyProtection="1">
      <protection locked="0"/>
    </xf>
    <xf numFmtId="16" fontId="0" fillId="0" borderId="0" xfId="0" applyNumberFormat="1" applyProtection="1">
      <protection locked="0"/>
    </xf>
    <xf numFmtId="172" fontId="22" fillId="0" borderId="20" xfId="29" applyNumberFormat="1" applyFont="1" applyFill="1" applyBorder="1" applyProtection="1">
      <protection locked="0"/>
    </xf>
    <xf numFmtId="172" fontId="22" fillId="0" borderId="20" xfId="0" applyNumberFormat="1" applyFont="1" applyFill="1" applyBorder="1" applyProtection="1">
      <protection locked="0"/>
    </xf>
    <xf numFmtId="172" fontId="22" fillId="0" borderId="22" xfId="0" applyNumberFormat="1" applyFont="1" applyFill="1" applyBorder="1" applyProtection="1">
      <protection locked="0"/>
    </xf>
    <xf numFmtId="171" fontId="23" fillId="0" borderId="64" xfId="0" applyNumberFormat="1" applyFont="1" applyBorder="1" applyAlignment="1">
      <alignment vertical="top"/>
    </xf>
    <xf numFmtId="171" fontId="23" fillId="0" borderId="64" xfId="0" applyNumberFormat="1" applyFont="1" applyFill="1" applyBorder="1"/>
    <xf numFmtId="171" fontId="23" fillId="0" borderId="43" xfId="0" applyNumberFormat="1" applyFont="1" applyFill="1" applyBorder="1"/>
    <xf numFmtId="171" fontId="23" fillId="0" borderId="44" xfId="0" applyNumberFormat="1" applyFont="1" applyFill="1" applyBorder="1"/>
    <xf numFmtId="171" fontId="23" fillId="0" borderId="42" xfId="0" applyNumberFormat="1" applyFont="1" applyFill="1" applyBorder="1"/>
    <xf numFmtId="0" fontId="29" fillId="0" borderId="0" xfId="0" applyFont="1" applyFill="1" applyBorder="1" applyAlignment="1">
      <alignment horizontal="left"/>
    </xf>
    <xf numFmtId="171" fontId="23" fillId="0" borderId="52" xfId="0" applyNumberFormat="1" applyFont="1" applyFill="1" applyBorder="1" applyProtection="1"/>
    <xf numFmtId="0" fontId="22" fillId="0" borderId="21" xfId="0" applyFont="1" applyFill="1" applyBorder="1" applyAlignment="1">
      <alignment horizontal="left" vertical="top" wrapText="1"/>
    </xf>
    <xf numFmtId="171" fontId="23" fillId="0" borderId="73" xfId="0" applyNumberFormat="1" applyFont="1" applyFill="1" applyBorder="1"/>
    <xf numFmtId="171" fontId="23" fillId="0" borderId="62" xfId="0" applyNumberFormat="1" applyFont="1" applyFill="1" applyBorder="1"/>
    <xf numFmtId="171" fontId="23" fillId="0" borderId="41" xfId="0" applyNumberFormat="1" applyFont="1" applyFill="1" applyBorder="1"/>
    <xf numFmtId="171" fontId="23" fillId="0" borderId="56" xfId="0" applyNumberFormat="1" applyFont="1" applyFill="1" applyBorder="1"/>
    <xf numFmtId="171" fontId="23" fillId="0" borderId="74" xfId="0" applyNumberFormat="1" applyFont="1" applyFill="1" applyBorder="1"/>
    <xf numFmtId="171" fontId="23" fillId="0" borderId="50" xfId="0" applyNumberFormat="1" applyFont="1" applyFill="1" applyBorder="1"/>
    <xf numFmtId="171" fontId="23" fillId="0" borderId="67" xfId="0" applyNumberFormat="1" applyFont="1" applyFill="1" applyBorder="1"/>
    <xf numFmtId="171" fontId="23" fillId="0" borderId="51" xfId="0" applyNumberFormat="1" applyFont="1" applyFill="1" applyBorder="1"/>
    <xf numFmtId="171" fontId="23" fillId="0" borderId="52" xfId="0" applyNumberFormat="1" applyFont="1" applyFill="1" applyBorder="1"/>
    <xf numFmtId="171" fontId="23" fillId="0" borderId="20" xfId="0" applyNumberFormat="1" applyFont="1" applyFill="1" applyBorder="1"/>
    <xf numFmtId="171" fontId="23" fillId="0" borderId="39" xfId="0" applyNumberFormat="1" applyFont="1" applyFill="1" applyBorder="1"/>
    <xf numFmtId="171" fontId="23" fillId="0" borderId="22" xfId="0" applyNumberFormat="1" applyFont="1" applyFill="1" applyBorder="1"/>
    <xf numFmtId="0" fontId="0" fillId="0" borderId="0" xfId="0" applyProtection="1"/>
    <xf numFmtId="0" fontId="18" fillId="0" borderId="0" xfId="0" applyFont="1" applyProtection="1"/>
    <xf numFmtId="0" fontId="20" fillId="30" borderId="75" xfId="0" applyFont="1" applyFill="1" applyBorder="1" applyAlignment="1" applyProtection="1">
      <alignment horizontal="center"/>
    </xf>
    <xf numFmtId="171" fontId="23" fillId="0" borderId="22" xfId="0" applyNumberFormat="1" applyFont="1" applyFill="1" applyBorder="1" applyProtection="1"/>
    <xf numFmtId="171" fontId="22" fillId="0" borderId="15" xfId="0" applyNumberFormat="1" applyFont="1" applyFill="1" applyBorder="1" applyProtection="1"/>
    <xf numFmtId="172" fontId="22" fillId="0" borderId="16" xfId="0" applyNumberFormat="1" applyFont="1" applyFill="1" applyBorder="1" applyProtection="1"/>
    <xf numFmtId="172" fontId="22" fillId="0" borderId="18" xfId="0" applyNumberFormat="1" applyFont="1" applyFill="1" applyBorder="1" applyProtection="1"/>
    <xf numFmtId="171" fontId="23" fillId="0" borderId="21" xfId="0" applyNumberFormat="1" applyFont="1" applyFill="1" applyBorder="1" applyProtection="1"/>
    <xf numFmtId="171" fontId="23" fillId="0" borderId="19" xfId="0" applyNumberFormat="1" applyFont="1" applyFill="1" applyBorder="1" applyProtection="1"/>
    <xf numFmtId="0" fontId="23" fillId="0" borderId="29" xfId="0" applyFont="1" applyFill="1" applyBorder="1" applyAlignment="1">
      <alignment horizontal="center" vertical="center"/>
    </xf>
    <xf numFmtId="0" fontId="23" fillId="0" borderId="30" xfId="0" applyFont="1" applyBorder="1" applyAlignment="1">
      <alignment horizontal="center"/>
    </xf>
    <xf numFmtId="171" fontId="23" fillId="0" borderId="43" xfId="0" applyNumberFormat="1" applyFont="1" applyFill="1" applyBorder="1" applyProtection="1"/>
    <xf numFmtId="171" fontId="23" fillId="0" borderId="64" xfId="0" applyNumberFormat="1" applyFont="1" applyFill="1" applyBorder="1" applyProtection="1"/>
    <xf numFmtId="171" fontId="23" fillId="0" borderId="44" xfId="0" applyNumberFormat="1" applyFont="1" applyFill="1" applyBorder="1" applyProtection="1"/>
    <xf numFmtId="0" fontId="22" fillId="0" borderId="19" xfId="0" applyNumberFormat="1" applyFont="1" applyFill="1" applyBorder="1" applyAlignment="1" applyProtection="1">
      <alignment horizontal="left" indent="2"/>
    </xf>
    <xf numFmtId="171" fontId="23" fillId="0" borderId="15" xfId="0" applyNumberFormat="1" applyFont="1" applyFill="1" applyBorder="1" applyProtection="1"/>
    <xf numFmtId="171" fontId="23" fillId="24" borderId="16" xfId="0" applyNumberFormat="1" applyFont="1" applyFill="1" applyBorder="1" applyProtection="1">
      <protection locked="0"/>
    </xf>
    <xf numFmtId="171" fontId="23" fillId="24" borderId="15" xfId="0" applyNumberFormat="1" applyFont="1" applyFill="1" applyBorder="1" applyProtection="1">
      <protection locked="0"/>
    </xf>
    <xf numFmtId="171" fontId="23" fillId="0" borderId="18" xfId="0" applyNumberFormat="1" applyFont="1" applyFill="1" applyBorder="1"/>
    <xf numFmtId="0" fontId="23" fillId="0" borderId="54" xfId="0" applyNumberFormat="1" applyFont="1" applyBorder="1" applyProtection="1"/>
    <xf numFmtId="0" fontId="26" fillId="0" borderId="0" xfId="0" applyFont="1" applyBorder="1" applyAlignment="1" applyProtection="1">
      <alignment horizontal="center"/>
    </xf>
    <xf numFmtId="168" fontId="25" fillId="0" borderId="0" xfId="0" applyNumberFormat="1" applyFont="1" applyBorder="1" applyProtection="1">
      <protection locked="0"/>
    </xf>
    <xf numFmtId="0" fontId="25" fillId="0" borderId="0" xfId="0" applyFont="1" applyBorder="1" applyProtection="1"/>
    <xf numFmtId="168" fontId="25" fillId="0" borderId="0" xfId="0" applyNumberFormat="1" applyFont="1" applyBorder="1" applyProtection="1"/>
    <xf numFmtId="0" fontId="23" fillId="0" borderId="32" xfId="0" applyFont="1" applyFill="1" applyBorder="1" applyAlignment="1">
      <alignment vertical="center"/>
    </xf>
    <xf numFmtId="0" fontId="23" fillId="0" borderId="22" xfId="0" applyFont="1" applyFill="1" applyBorder="1" applyAlignment="1">
      <alignment horizontal="center" vertical="center"/>
    </xf>
    <xf numFmtId="0" fontId="23" fillId="0" borderId="27" xfId="0" applyFont="1" applyFill="1" applyBorder="1" applyAlignment="1">
      <alignment horizontal="center" vertical="center"/>
    </xf>
    <xf numFmtId="0" fontId="22" fillId="0" borderId="22" xfId="0" applyNumberFormat="1" applyFont="1" applyBorder="1" applyAlignment="1">
      <alignment horizontal="center"/>
    </xf>
    <xf numFmtId="0" fontId="22" fillId="0" borderId="22" xfId="0" applyNumberFormat="1" applyFont="1" applyBorder="1" applyAlignment="1" applyProtection="1">
      <alignment horizontal="center"/>
    </xf>
    <xf numFmtId="0" fontId="22" fillId="0" borderId="22" xfId="0" applyNumberFormat="1" applyFont="1" applyFill="1" applyBorder="1" applyAlignment="1" applyProtection="1">
      <alignment horizontal="center"/>
    </xf>
    <xf numFmtId="0" fontId="28" fillId="0" borderId="22" xfId="0" applyNumberFormat="1" applyFont="1" applyBorder="1" applyAlignment="1" applyProtection="1">
      <alignment horizontal="center"/>
    </xf>
    <xf numFmtId="0" fontId="22" fillId="0" borderId="52" xfId="0" applyNumberFormat="1" applyFont="1" applyBorder="1" applyAlignment="1" applyProtection="1">
      <alignment horizontal="center"/>
    </xf>
    <xf numFmtId="0" fontId="23" fillId="0" borderId="29" xfId="0" applyFont="1" applyBorder="1" applyAlignment="1">
      <alignment horizontal="center"/>
    </xf>
    <xf numFmtId="171" fontId="23" fillId="0" borderId="25" xfId="0" applyNumberFormat="1" applyFont="1" applyFill="1" applyBorder="1"/>
    <xf numFmtId="0" fontId="23" fillId="0" borderId="32" xfId="0" applyFont="1" applyBorder="1" applyAlignment="1">
      <alignment horizontal="center"/>
    </xf>
    <xf numFmtId="0" fontId="24" fillId="0" borderId="10" xfId="0" applyFont="1" applyBorder="1" applyProtection="1"/>
    <xf numFmtId="0" fontId="23" fillId="0" borderId="30" xfId="0" applyFont="1" applyBorder="1" applyAlignment="1" applyProtection="1">
      <alignment horizontal="center"/>
    </xf>
    <xf numFmtId="0" fontId="23" fillId="0" borderId="29" xfId="0" applyFont="1" applyBorder="1" applyAlignment="1" applyProtection="1">
      <alignment horizontal="center"/>
    </xf>
    <xf numFmtId="171" fontId="23" fillId="0" borderId="20" xfId="0" applyNumberFormat="1" applyFont="1" applyBorder="1" applyAlignment="1">
      <alignment horizontal="right"/>
    </xf>
    <xf numFmtId="171" fontId="23" fillId="0" borderId="19" xfId="0" applyNumberFormat="1" applyFont="1" applyBorder="1" applyAlignment="1">
      <alignment horizontal="right"/>
    </xf>
    <xf numFmtId="171" fontId="22" fillId="24" borderId="20" xfId="0" applyNumberFormat="1" applyFont="1" applyFill="1" applyBorder="1" applyAlignment="1" applyProtection="1">
      <alignment horizontal="right"/>
      <protection locked="0"/>
    </xf>
    <xf numFmtId="171" fontId="22" fillId="24" borderId="19" xfId="0" applyNumberFormat="1" applyFont="1" applyFill="1" applyBorder="1" applyAlignment="1" applyProtection="1">
      <alignment horizontal="right"/>
      <protection locked="0"/>
    </xf>
    <xf numFmtId="171" fontId="22" fillId="24" borderId="22" xfId="0" applyNumberFormat="1" applyFont="1" applyFill="1" applyBorder="1" applyAlignment="1" applyProtection="1">
      <alignment horizontal="right"/>
      <protection locked="0"/>
    </xf>
    <xf numFmtId="0" fontId="23" fillId="0" borderId="10" xfId="0" applyFont="1" applyBorder="1" applyAlignment="1" applyProtection="1">
      <alignment horizontal="left"/>
    </xf>
    <xf numFmtId="171" fontId="23" fillId="0" borderId="16" xfId="0" applyNumberFormat="1" applyFont="1" applyBorder="1" applyAlignment="1" applyProtection="1">
      <alignment horizontal="right"/>
    </xf>
    <xf numFmtId="171" fontId="23" fillId="0" borderId="15" xfId="0" applyNumberFormat="1" applyFont="1" applyBorder="1" applyAlignment="1" applyProtection="1">
      <alignment horizontal="right"/>
    </xf>
    <xf numFmtId="0" fontId="22" fillId="0" borderId="23" xfId="0" applyFont="1" applyBorder="1" applyProtection="1"/>
    <xf numFmtId="171" fontId="22" fillId="0" borderId="25" xfId="0" applyNumberFormat="1" applyFont="1" applyBorder="1" applyProtection="1"/>
    <xf numFmtId="171" fontId="22" fillId="0" borderId="24" xfId="0" applyNumberFormat="1" applyFont="1" applyBorder="1" applyProtection="1"/>
    <xf numFmtId="0" fontId="24" fillId="0" borderId="28" xfId="0" applyFont="1" applyBorder="1" applyProtection="1"/>
    <xf numFmtId="171" fontId="22" fillId="0" borderId="30" xfId="0" applyNumberFormat="1" applyFont="1" applyBorder="1" applyProtection="1"/>
    <xf numFmtId="171" fontId="22" fillId="0" borderId="29" xfId="0" applyNumberFormat="1" applyFont="1" applyBorder="1" applyProtection="1"/>
    <xf numFmtId="0" fontId="23" fillId="0" borderId="10" xfId="0" applyFont="1" applyFill="1" applyBorder="1" applyAlignment="1" applyProtection="1">
      <alignment horizontal="left" indent="1"/>
    </xf>
    <xf numFmtId="171" fontId="23" fillId="0" borderId="20" xfId="0" applyNumberFormat="1" applyFont="1" applyBorder="1" applyAlignment="1" applyProtection="1">
      <alignment horizontal="right"/>
    </xf>
    <xf numFmtId="171" fontId="23" fillId="0" borderId="19" xfId="0" applyNumberFormat="1" applyFont="1" applyBorder="1" applyAlignment="1" applyProtection="1">
      <alignment horizontal="right"/>
    </xf>
    <xf numFmtId="0" fontId="22" fillId="0" borderId="10" xfId="0" applyFont="1" applyFill="1" applyBorder="1" applyAlignment="1" applyProtection="1">
      <alignment horizontal="left" indent="1"/>
    </xf>
    <xf numFmtId="0" fontId="23" fillId="0" borderId="10" xfId="0" applyFont="1" applyBorder="1" applyAlignment="1">
      <alignment horizontal="left"/>
    </xf>
    <xf numFmtId="0" fontId="22" fillId="0" borderId="0" xfId="0" applyFont="1" applyBorder="1" applyAlignment="1" applyProtection="1">
      <alignment horizontal="center"/>
      <protection locked="0"/>
    </xf>
    <xf numFmtId="0" fontId="26" fillId="0" borderId="0" xfId="0" applyFont="1" applyFill="1" applyBorder="1" applyProtection="1">
      <protection locked="0"/>
    </xf>
    <xf numFmtId="168" fontId="23" fillId="0" borderId="0" xfId="0" applyNumberFormat="1" applyFont="1" applyFill="1" applyBorder="1" applyProtection="1">
      <protection locked="0"/>
    </xf>
    <xf numFmtId="0" fontId="23" fillId="0" borderId="0" xfId="0" applyFont="1" applyBorder="1" applyProtection="1">
      <protection locked="0"/>
    </xf>
    <xf numFmtId="168" fontId="23" fillId="0" borderId="0" xfId="0" applyNumberFormat="1" applyFont="1" applyBorder="1" applyProtection="1">
      <protection locked="0"/>
    </xf>
    <xf numFmtId="0" fontId="26" fillId="0" borderId="0" xfId="0" applyFont="1" applyBorder="1" applyAlignment="1" applyProtection="1">
      <alignment horizontal="center"/>
      <protection locked="0"/>
    </xf>
    <xf numFmtId="0" fontId="26" fillId="0" borderId="0" xfId="0" applyFont="1" applyBorder="1" applyAlignment="1" applyProtection="1">
      <alignment horizontal="right"/>
      <protection locked="0"/>
    </xf>
    <xf numFmtId="165" fontId="22" fillId="0" borderId="0" xfId="28" applyNumberFormat="1" applyFont="1" applyProtection="1">
      <protection locked="0"/>
    </xf>
    <xf numFmtId="0" fontId="23" fillId="0" borderId="32" xfId="0" applyFont="1" applyBorder="1" applyAlignment="1" applyProtection="1">
      <alignment horizontal="center"/>
    </xf>
    <xf numFmtId="171" fontId="23" fillId="0" borderId="22" xfId="0" applyNumberFormat="1" applyFont="1" applyBorder="1" applyAlignment="1">
      <alignment horizontal="right"/>
    </xf>
    <xf numFmtId="171" fontId="23" fillId="0" borderId="18" xfId="0" applyNumberFormat="1" applyFont="1" applyBorder="1" applyAlignment="1" applyProtection="1">
      <alignment horizontal="right"/>
    </xf>
    <xf numFmtId="171" fontId="22" fillId="0" borderId="27" xfId="0" applyNumberFormat="1" applyFont="1" applyBorder="1" applyProtection="1"/>
    <xf numFmtId="171" fontId="22" fillId="0" borderId="32" xfId="0" applyNumberFormat="1" applyFont="1" applyBorder="1" applyProtection="1"/>
    <xf numFmtId="171" fontId="23" fillId="0" borderId="22" xfId="0" applyNumberFormat="1" applyFont="1" applyBorder="1" applyAlignment="1" applyProtection="1">
      <alignment horizontal="right"/>
    </xf>
    <xf numFmtId="171" fontId="22" fillId="0" borderId="51" xfId="0" applyNumberFormat="1" applyFont="1" applyBorder="1"/>
    <xf numFmtId="171" fontId="22" fillId="0" borderId="19" xfId="0" applyNumberFormat="1" applyFont="1" applyBorder="1" applyProtection="1"/>
    <xf numFmtId="0" fontId="23" fillId="0" borderId="19" xfId="0" applyFont="1" applyBorder="1" applyAlignment="1" applyProtection="1">
      <alignment horizontal="center"/>
    </xf>
    <xf numFmtId="0" fontId="23" fillId="0" borderId="20" xfId="0" applyFont="1" applyBorder="1" applyAlignment="1" applyProtection="1">
      <alignment horizontal="center"/>
    </xf>
    <xf numFmtId="0" fontId="23" fillId="0" borderId="22" xfId="0" applyFont="1" applyBorder="1" applyAlignment="1" applyProtection="1">
      <alignment horizontal="center"/>
    </xf>
    <xf numFmtId="0" fontId="0" fillId="0" borderId="0" xfId="0" applyBorder="1"/>
    <xf numFmtId="171" fontId="23" fillId="0" borderId="76" xfId="0" applyNumberFormat="1" applyFont="1" applyBorder="1"/>
    <xf numFmtId="171" fontId="23" fillId="0" borderId="77" xfId="0" applyNumberFormat="1" applyFont="1" applyBorder="1"/>
    <xf numFmtId="171" fontId="22" fillId="0" borderId="77" xfId="0" applyNumberFormat="1" applyFont="1" applyBorder="1"/>
    <xf numFmtId="171" fontId="23" fillId="0" borderId="78" xfId="0" applyNumberFormat="1" applyFont="1" applyBorder="1"/>
    <xf numFmtId="171" fontId="22" fillId="0" borderId="20" xfId="0" applyNumberFormat="1" applyFont="1" applyBorder="1" applyAlignment="1">
      <alignment horizontal="right"/>
    </xf>
    <xf numFmtId="171" fontId="23" fillId="0" borderId="16" xfId="0" applyNumberFormat="1" applyFont="1" applyFill="1" applyBorder="1" applyAlignment="1">
      <alignment horizontal="right"/>
    </xf>
    <xf numFmtId="171" fontId="22" fillId="0" borderId="20" xfId="0" applyNumberFormat="1" applyFont="1" applyBorder="1" applyAlignment="1">
      <alignment horizontal="center"/>
    </xf>
    <xf numFmtId="171" fontId="22" fillId="0" borderId="20" xfId="0" applyNumberFormat="1" applyFont="1" applyFill="1" applyBorder="1" applyAlignment="1" applyProtection="1">
      <alignment horizontal="center"/>
    </xf>
    <xf numFmtId="171" fontId="23" fillId="0" borderId="16" xfId="0" applyNumberFormat="1" applyFont="1" applyFill="1" applyBorder="1" applyAlignment="1">
      <alignment horizontal="center"/>
    </xf>
    <xf numFmtId="171" fontId="22" fillId="0" borderId="20" xfId="29" applyNumberFormat="1" applyFont="1" applyFill="1" applyBorder="1" applyProtection="1"/>
    <xf numFmtId="171" fontId="22" fillId="0" borderId="22" xfId="29" applyNumberFormat="1" applyFont="1" applyFill="1" applyBorder="1" applyProtection="1"/>
    <xf numFmtId="0" fontId="22" fillId="0" borderId="0" xfId="0" applyFont="1" applyFill="1" applyBorder="1" applyAlignment="1">
      <alignment horizontal="center"/>
    </xf>
    <xf numFmtId="0" fontId="22" fillId="0" borderId="0" xfId="0" applyFont="1" applyFill="1" applyBorder="1" applyAlignment="1">
      <alignment horizontal="left" vertical="top" wrapText="1"/>
    </xf>
    <xf numFmtId="0" fontId="26" fillId="0" borderId="10" xfId="0" applyFont="1" applyFill="1" applyBorder="1" applyAlignment="1">
      <alignment horizontal="right"/>
    </xf>
    <xf numFmtId="165" fontId="22" fillId="0" borderId="0" xfId="29" applyNumberFormat="1" applyFont="1" applyFill="1" applyBorder="1"/>
    <xf numFmtId="0" fontId="17" fillId="24" borderId="60" xfId="0" applyFont="1" applyFill="1" applyBorder="1" applyAlignment="1" applyProtection="1">
      <alignment horizontal="center"/>
      <protection locked="0"/>
    </xf>
    <xf numFmtId="17" fontId="17" fillId="24" borderId="46" xfId="0" quotePrefix="1" applyNumberFormat="1" applyFont="1" applyFill="1" applyBorder="1" applyProtection="1">
      <protection locked="0"/>
    </xf>
    <xf numFmtId="0" fontId="17" fillId="24" borderId="46" xfId="0" applyFont="1" applyFill="1" applyBorder="1" applyProtection="1">
      <protection locked="0"/>
    </xf>
    <xf numFmtId="0" fontId="17" fillId="24" borderId="79" xfId="0" applyFont="1" applyFill="1" applyBorder="1" applyProtection="1">
      <protection locked="0"/>
    </xf>
    <xf numFmtId="0" fontId="17" fillId="24" borderId="14" xfId="0" applyFont="1" applyFill="1" applyBorder="1" applyAlignment="1" applyProtection="1">
      <alignment horizontal="center"/>
      <protection locked="0"/>
    </xf>
    <xf numFmtId="17" fontId="17" fillId="24" borderId="0" xfId="0" quotePrefix="1" applyNumberFormat="1" applyFont="1" applyFill="1" applyBorder="1" applyProtection="1">
      <protection locked="0"/>
    </xf>
    <xf numFmtId="0" fontId="17" fillId="24" borderId="0" xfId="0" applyFont="1" applyFill="1" applyBorder="1" applyProtection="1">
      <protection locked="0"/>
    </xf>
    <xf numFmtId="0" fontId="17" fillId="24" borderId="70" xfId="0" applyFont="1" applyFill="1" applyBorder="1" applyProtection="1">
      <protection locked="0"/>
    </xf>
    <xf numFmtId="0" fontId="17" fillId="24" borderId="70" xfId="0" applyFont="1" applyFill="1" applyBorder="1" applyAlignment="1" applyProtection="1">
      <alignment horizontal="center"/>
      <protection locked="0"/>
    </xf>
    <xf numFmtId="0" fontId="17" fillId="24" borderId="0" xfId="0" applyFont="1" applyFill="1" applyAlignment="1" applyProtection="1">
      <alignment horizontal="center"/>
      <protection locked="0"/>
    </xf>
    <xf numFmtId="0" fontId="17" fillId="24" borderId="0" xfId="0" applyFont="1" applyFill="1" applyAlignment="1" applyProtection="1">
      <alignment horizontal="left"/>
      <protection locked="0"/>
    </xf>
    <xf numFmtId="167" fontId="22" fillId="24" borderId="75" xfId="0" applyNumberFormat="1" applyFont="1" applyFill="1" applyBorder="1" applyAlignment="1" applyProtection="1">
      <alignment horizontal="center"/>
      <protection locked="0"/>
    </xf>
    <xf numFmtId="0" fontId="22" fillId="24" borderId="10" xfId="0" applyNumberFormat="1" applyFont="1" applyFill="1" applyBorder="1" applyAlignment="1" applyProtection="1">
      <alignment horizontal="left" vertical="top" wrapText="1" indent="1"/>
      <protection locked="0"/>
    </xf>
    <xf numFmtId="9" fontId="22" fillId="24" borderId="80" xfId="43" applyFont="1" applyFill="1" applyBorder="1" applyAlignment="1" applyProtection="1">
      <alignment horizontal="center"/>
      <protection locked="0"/>
    </xf>
    <xf numFmtId="9" fontId="22" fillId="24" borderId="81" xfId="43" applyFont="1" applyFill="1" applyBorder="1" applyAlignment="1" applyProtection="1">
      <alignment horizontal="center"/>
      <protection locked="0"/>
    </xf>
    <xf numFmtId="9" fontId="22" fillId="24" borderId="71" xfId="43" applyFont="1" applyFill="1" applyBorder="1" applyAlignment="1" applyProtection="1">
      <alignment horizontal="center"/>
      <protection locked="0"/>
    </xf>
    <xf numFmtId="0" fontId="22" fillId="24" borderId="10" xfId="0" quotePrefix="1" applyFont="1" applyFill="1" applyBorder="1" applyAlignment="1" applyProtection="1">
      <alignment horizontal="left" indent="1"/>
      <protection locked="0"/>
    </xf>
    <xf numFmtId="0" fontId="23" fillId="24" borderId="58" xfId="0" applyFont="1" applyFill="1" applyBorder="1" applyAlignment="1" applyProtection="1">
      <alignment horizontal="center" vertical="top" wrapText="1"/>
      <protection locked="0"/>
    </xf>
    <xf numFmtId="0" fontId="23" fillId="24" borderId="39" xfId="0" applyFont="1" applyFill="1" applyBorder="1" applyAlignment="1" applyProtection="1">
      <alignment horizontal="center" vertical="top" wrapText="1"/>
      <protection locked="0"/>
    </xf>
    <xf numFmtId="0" fontId="23" fillId="24" borderId="63" xfId="0" applyFont="1" applyFill="1" applyBorder="1" applyAlignment="1" applyProtection="1">
      <alignment horizontal="center" vertical="top" wrapText="1"/>
      <protection locked="0"/>
    </xf>
    <xf numFmtId="0" fontId="23" fillId="24" borderId="19" xfId="0" applyFont="1" applyFill="1" applyBorder="1" applyAlignment="1" applyProtection="1">
      <alignment horizontal="center" vertical="top" wrapText="1"/>
      <protection locked="0"/>
    </xf>
    <xf numFmtId="0" fontId="23" fillId="24" borderId="20" xfId="0" applyFont="1" applyFill="1" applyBorder="1" applyAlignment="1" applyProtection="1">
      <alignment horizontal="center" vertical="top" wrapText="1"/>
      <protection locked="0"/>
    </xf>
    <xf numFmtId="0" fontId="23" fillId="24" borderId="21" xfId="0" applyFont="1" applyFill="1" applyBorder="1" applyAlignment="1" applyProtection="1">
      <alignment horizontal="center" vertical="top" wrapText="1"/>
      <protection locked="0"/>
    </xf>
    <xf numFmtId="0" fontId="23" fillId="24" borderId="38" xfId="0" applyFont="1" applyFill="1" applyBorder="1" applyAlignment="1" applyProtection="1">
      <alignment horizontal="center" vertical="top" wrapText="1"/>
      <protection locked="0"/>
    </xf>
    <xf numFmtId="0" fontId="22" fillId="24" borderId="0" xfId="0" applyFont="1" applyFill="1" applyProtection="1">
      <protection locked="0"/>
    </xf>
    <xf numFmtId="171" fontId="23" fillId="24" borderId="36" xfId="0" applyNumberFormat="1" applyFont="1" applyFill="1" applyBorder="1" applyProtection="1">
      <protection locked="0"/>
    </xf>
    <xf numFmtId="171" fontId="23" fillId="24" borderId="20" xfId="0" applyNumberFormat="1" applyFont="1" applyFill="1" applyBorder="1" applyProtection="1">
      <protection locked="0"/>
    </xf>
    <xf numFmtId="171" fontId="23" fillId="24" borderId="22" xfId="0" applyNumberFormat="1" applyFont="1" applyFill="1" applyBorder="1" applyProtection="1">
      <protection locked="0"/>
    </xf>
    <xf numFmtId="0" fontId="25" fillId="24" borderId="10" xfId="0" applyNumberFormat="1" applyFont="1" applyFill="1" applyBorder="1" applyProtection="1">
      <protection locked="0"/>
    </xf>
    <xf numFmtId="0" fontId="0" fillId="24" borderId="0" xfId="0" applyFill="1" applyProtection="1">
      <protection locked="0"/>
    </xf>
    <xf numFmtId="0" fontId="15" fillId="24" borderId="0" xfId="0" applyFont="1" applyFill="1" applyBorder="1" applyProtection="1">
      <protection locked="0"/>
    </xf>
    <xf numFmtId="0" fontId="54" fillId="24" borderId="0" xfId="0" applyFont="1" applyFill="1" applyProtection="1">
      <protection locked="0"/>
    </xf>
    <xf numFmtId="0" fontId="0" fillId="0" borderId="0" xfId="0" applyFill="1"/>
    <xf numFmtId="0" fontId="23" fillId="31" borderId="45" xfId="0" applyFont="1" applyFill="1" applyBorder="1" applyAlignment="1" applyProtection="1">
      <alignment horizontal="left" vertical="top" wrapText="1"/>
      <protection locked="0"/>
    </xf>
    <xf numFmtId="0" fontId="23" fillId="32" borderId="75" xfId="0" applyFont="1" applyFill="1" applyBorder="1" applyAlignment="1" applyProtection="1">
      <alignment horizontal="left" vertical="top" wrapText="1" indent="1"/>
      <protection locked="0"/>
    </xf>
    <xf numFmtId="0" fontId="23" fillId="33" borderId="75" xfId="0" applyFont="1" applyFill="1" applyBorder="1" applyAlignment="1" applyProtection="1">
      <alignment horizontal="left" vertical="top" wrapText="1" indent="2"/>
      <protection locked="0"/>
    </xf>
    <xf numFmtId="0" fontId="26" fillId="24" borderId="45" xfId="0" applyFont="1" applyFill="1" applyBorder="1" applyAlignment="1" applyProtection="1">
      <alignment horizontal="left" wrapText="1"/>
      <protection locked="0"/>
    </xf>
    <xf numFmtId="0" fontId="23" fillId="24" borderId="45" xfId="0" applyFont="1" applyFill="1" applyBorder="1" applyAlignment="1" applyProtection="1">
      <alignment horizontal="left" vertical="top" wrapText="1"/>
      <protection locked="0"/>
    </xf>
    <xf numFmtId="0" fontId="23" fillId="24" borderId="75" xfId="0" applyFont="1" applyFill="1" applyBorder="1" applyAlignment="1" applyProtection="1">
      <alignment horizontal="left" vertical="top" wrapText="1"/>
      <protection locked="0"/>
    </xf>
    <xf numFmtId="0" fontId="23" fillId="24" borderId="75" xfId="0" applyFont="1" applyFill="1" applyBorder="1" applyAlignment="1" applyProtection="1">
      <alignment horizontal="left" wrapText="1" indent="1"/>
      <protection locked="0"/>
    </xf>
    <xf numFmtId="0" fontId="22" fillId="24" borderId="45" xfId="0" applyFont="1" applyFill="1" applyBorder="1" applyAlignment="1" applyProtection="1">
      <alignment horizontal="left" wrapText="1"/>
      <protection locked="0"/>
    </xf>
    <xf numFmtId="0" fontId="26" fillId="0" borderId="0" xfId="0" applyFont="1" applyFill="1" applyBorder="1" applyAlignment="1">
      <alignment horizontal="left" vertical="top" wrapText="1"/>
    </xf>
    <xf numFmtId="0" fontId="26" fillId="0" borderId="0" xfId="0" applyNumberFormat="1" applyFont="1" applyFill="1" applyBorder="1" applyProtection="1"/>
    <xf numFmtId="0" fontId="23" fillId="0" borderId="10" xfId="0" applyNumberFormat="1" applyFont="1" applyBorder="1" applyAlignment="1">
      <alignment horizontal="left" indent="1"/>
    </xf>
    <xf numFmtId="0" fontId="28" fillId="0" borderId="10" xfId="0" applyFont="1" applyFill="1" applyBorder="1" applyAlignment="1">
      <alignment horizontal="left" indent="1"/>
    </xf>
    <xf numFmtId="0" fontId="26" fillId="0" borderId="10" xfId="0" applyFont="1" applyFill="1" applyBorder="1" applyAlignment="1">
      <alignment horizontal="left" indent="2"/>
    </xf>
    <xf numFmtId="0" fontId="26" fillId="0" borderId="10" xfId="0" applyNumberFormat="1" applyFont="1" applyBorder="1" applyAlignment="1" applyProtection="1">
      <alignment horizontal="right" indent="1"/>
    </xf>
    <xf numFmtId="0" fontId="26" fillId="0" borderId="0" xfId="0" applyFont="1" applyFill="1" applyBorder="1" applyProtection="1"/>
    <xf numFmtId="0" fontId="26" fillId="0" borderId="10" xfId="0" applyNumberFormat="1" applyFont="1" applyFill="1" applyBorder="1" applyAlignment="1">
      <alignment horizontal="left" indent="2"/>
    </xf>
    <xf numFmtId="0" fontId="23" fillId="0" borderId="10" xfId="0" applyNumberFormat="1" applyFont="1" applyFill="1" applyBorder="1" applyAlignment="1">
      <alignment horizontal="left"/>
    </xf>
    <xf numFmtId="0" fontId="55" fillId="0" borderId="0" xfId="0" applyFont="1"/>
    <xf numFmtId="0" fontId="55" fillId="0" borderId="22" xfId="0" applyFont="1" applyBorder="1"/>
    <xf numFmtId="0" fontId="56" fillId="0" borderId="19" xfId="0" applyFont="1" applyFill="1" applyBorder="1" applyAlignment="1">
      <alignment horizontal="left" vertical="top" wrapText="1" indent="3"/>
    </xf>
    <xf numFmtId="0" fontId="24" fillId="0" borderId="14" xfId="0" applyFont="1" applyFill="1" applyBorder="1" applyAlignment="1">
      <alignment horizontal="left" indent="1"/>
    </xf>
    <xf numFmtId="0" fontId="23" fillId="0" borderId="37" xfId="0" applyFont="1" applyFill="1" applyBorder="1"/>
    <xf numFmtId="0" fontId="22" fillId="0" borderId="0" xfId="0" applyFont="1" applyFill="1" applyAlignment="1">
      <alignment horizontal="center"/>
    </xf>
    <xf numFmtId="0" fontId="22" fillId="0" borderId="0" xfId="0" applyFont="1" applyFill="1" applyProtection="1"/>
    <xf numFmtId="0" fontId="22" fillId="0" borderId="20" xfId="0" applyFont="1" applyFill="1" applyBorder="1" applyAlignment="1">
      <alignment horizontal="center"/>
    </xf>
    <xf numFmtId="0" fontId="22" fillId="0" borderId="0" xfId="0" applyFont="1" applyFill="1" applyBorder="1" applyAlignment="1">
      <alignment vertical="top" wrapText="1"/>
    </xf>
    <xf numFmtId="0" fontId="22" fillId="0" borderId="0" xfId="0" applyFont="1" applyFill="1" applyAlignment="1"/>
    <xf numFmtId="0" fontId="23" fillId="0" borderId="0" xfId="0" applyFont="1" applyFill="1" applyBorder="1" applyAlignment="1">
      <alignment horizontal="center"/>
    </xf>
    <xf numFmtId="171" fontId="23" fillId="0" borderId="0" xfId="0" applyNumberFormat="1" applyFont="1" applyFill="1" applyBorder="1" applyAlignment="1">
      <alignment horizontal="left"/>
    </xf>
    <xf numFmtId="171" fontId="22" fillId="0" borderId="0" xfId="0" applyNumberFormat="1" applyFont="1" applyFill="1" applyBorder="1" applyAlignment="1">
      <alignment horizontal="left"/>
    </xf>
    <xf numFmtId="0" fontId="31" fillId="0" borderId="0" xfId="0" applyFont="1" applyFill="1"/>
    <xf numFmtId="0" fontId="22" fillId="0" borderId="0" xfId="0" applyFont="1" applyFill="1" applyAlignment="1">
      <alignment wrapText="1"/>
    </xf>
    <xf numFmtId="0" fontId="24" fillId="0" borderId="28" xfId="0" applyFont="1" applyBorder="1"/>
    <xf numFmtId="171" fontId="23" fillId="0" borderId="29" xfId="0" applyNumberFormat="1" applyFont="1" applyBorder="1"/>
    <xf numFmtId="171" fontId="23" fillId="0" borderId="30" xfId="0" applyNumberFormat="1" applyFont="1" applyBorder="1"/>
    <xf numFmtId="171" fontId="23" fillId="0" borderId="32" xfId="0" applyNumberFormat="1" applyFont="1" applyBorder="1"/>
    <xf numFmtId="0" fontId="24" fillId="0" borderId="28" xfId="0" applyNumberFormat="1" applyFont="1" applyBorder="1"/>
    <xf numFmtId="0" fontId="23" fillId="0" borderId="54" xfId="0" applyNumberFormat="1" applyFont="1" applyBorder="1"/>
    <xf numFmtId="0" fontId="26" fillId="0" borderId="0" xfId="0" applyNumberFormat="1" applyFont="1" applyBorder="1" applyProtection="1"/>
    <xf numFmtId="0" fontId="23" fillId="0" borderId="54" xfId="0" applyNumberFormat="1" applyFont="1" applyBorder="1" applyAlignment="1">
      <alignment wrapText="1"/>
    </xf>
    <xf numFmtId="171" fontId="23" fillId="0" borderId="56" xfId="0" applyNumberFormat="1" applyFont="1" applyBorder="1" applyAlignment="1">
      <alignment vertical="top"/>
    </xf>
    <xf numFmtId="171" fontId="23" fillId="0" borderId="51" xfId="0" applyNumberFormat="1" applyFont="1" applyBorder="1" applyAlignment="1">
      <alignment vertical="top"/>
    </xf>
    <xf numFmtId="171" fontId="23" fillId="0" borderId="52" xfId="0" applyNumberFormat="1" applyFont="1" applyBorder="1" applyAlignment="1">
      <alignment vertical="top"/>
    </xf>
    <xf numFmtId="0" fontId="23" fillId="0" borderId="54" xfId="0" applyNumberFormat="1" applyFont="1" applyBorder="1" applyAlignment="1">
      <alignment vertical="top" wrapText="1"/>
    </xf>
    <xf numFmtId="171" fontId="23" fillId="0" borderId="64" xfId="0" applyNumberFormat="1" applyFont="1" applyBorder="1" applyAlignment="1">
      <alignment horizontal="center"/>
    </xf>
    <xf numFmtId="0" fontId="57" fillId="0" borderId="0" xfId="0" applyFont="1" applyFill="1" applyBorder="1" applyAlignment="1">
      <alignment horizontal="left"/>
    </xf>
    <xf numFmtId="0" fontId="58" fillId="0" borderId="0" xfId="0" applyFont="1"/>
    <xf numFmtId="0" fontId="60" fillId="0" borderId="10" xfId="0" applyFont="1" applyFill="1" applyBorder="1" applyAlignment="1">
      <alignment horizontal="center" vertical="center"/>
    </xf>
    <xf numFmtId="0" fontId="59" fillId="0" borderId="37" xfId="0" applyFont="1" applyFill="1" applyBorder="1" applyAlignment="1">
      <alignment horizontal="left" vertical="center"/>
    </xf>
    <xf numFmtId="0" fontId="61" fillId="0" borderId="10" xfId="0" applyFont="1" applyBorder="1"/>
    <xf numFmtId="0" fontId="58" fillId="0" borderId="30" xfId="0" applyFont="1" applyBorder="1" applyAlignment="1">
      <alignment horizontal="center"/>
    </xf>
    <xf numFmtId="0" fontId="58" fillId="0" borderId="20" xfId="0" applyFont="1" applyBorder="1" applyAlignment="1">
      <alignment horizontal="center"/>
    </xf>
    <xf numFmtId="0" fontId="59" fillId="0" borderId="10" xfId="0" applyFont="1" applyFill="1" applyBorder="1" applyAlignment="1" applyProtection="1">
      <alignment horizontal="left" indent="1"/>
    </xf>
    <xf numFmtId="0" fontId="59" fillId="0" borderId="20" xfId="0" applyFont="1" applyBorder="1" applyAlignment="1">
      <alignment horizontal="center"/>
    </xf>
    <xf numFmtId="0" fontId="58" fillId="0" borderId="10" xfId="0" applyFont="1" applyFill="1" applyBorder="1" applyAlignment="1" applyProtection="1">
      <alignment horizontal="left" indent="1"/>
    </xf>
    <xf numFmtId="0" fontId="58" fillId="0" borderId="20" xfId="0" applyFont="1" applyFill="1" applyBorder="1" applyAlignment="1">
      <alignment horizontal="center"/>
    </xf>
    <xf numFmtId="0" fontId="59" fillId="0" borderId="10" xfId="0" applyFont="1" applyBorder="1" applyAlignment="1">
      <alignment horizontal="left"/>
    </xf>
    <xf numFmtId="0" fontId="58" fillId="0" borderId="23" xfId="0" applyFont="1" applyBorder="1"/>
    <xf numFmtId="0" fontId="58" fillId="0" borderId="32" xfId="0" applyFont="1" applyBorder="1" applyAlignment="1">
      <alignment horizontal="center"/>
    </xf>
    <xf numFmtId="0" fontId="58" fillId="0" borderId="22" xfId="0" applyFont="1" applyBorder="1" applyAlignment="1">
      <alignment horizontal="center"/>
    </xf>
    <xf numFmtId="0" fontId="59" fillId="0" borderId="80" xfId="0" applyFont="1" applyBorder="1"/>
    <xf numFmtId="0" fontId="58" fillId="0" borderId="77" xfId="0" applyFont="1" applyBorder="1" applyAlignment="1">
      <alignment horizontal="center"/>
    </xf>
    <xf numFmtId="0" fontId="62" fillId="0" borderId="0" xfId="0" applyFont="1"/>
    <xf numFmtId="0" fontId="58" fillId="0" borderId="0" xfId="0" applyFont="1" applyBorder="1" applyAlignment="1" applyProtection="1">
      <alignment horizontal="center"/>
      <protection locked="0"/>
    </xf>
    <xf numFmtId="0" fontId="63" fillId="0" borderId="0" xfId="0" applyFont="1" applyBorder="1" applyProtection="1"/>
    <xf numFmtId="0" fontId="60" fillId="0" borderId="0" xfId="0" quotePrefix="1" applyFont="1" applyBorder="1" applyProtection="1"/>
    <xf numFmtId="0" fontId="60" fillId="0" borderId="0" xfId="0" applyFont="1" applyBorder="1" applyAlignment="1" applyProtection="1">
      <alignment horizontal="center"/>
      <protection locked="0"/>
    </xf>
    <xf numFmtId="0" fontId="60" fillId="0" borderId="0" xfId="0" applyFont="1" applyBorder="1" applyAlignment="1" applyProtection="1">
      <alignment horizontal="left"/>
    </xf>
    <xf numFmtId="171" fontId="23" fillId="0" borderId="40" xfId="0" applyNumberFormat="1" applyFont="1" applyFill="1" applyBorder="1" applyProtection="1"/>
    <xf numFmtId="171" fontId="22" fillId="24" borderId="64" xfId="0" applyNumberFormat="1" applyFont="1" applyFill="1" applyBorder="1" applyProtection="1">
      <protection locked="0"/>
    </xf>
    <xf numFmtId="171" fontId="22" fillId="24" borderId="43" xfId="0" applyNumberFormat="1" applyFont="1" applyFill="1" applyBorder="1" applyProtection="1">
      <protection locked="0"/>
    </xf>
    <xf numFmtId="0" fontId="23" fillId="0" borderId="30" xfId="0" applyFont="1" applyFill="1" applyBorder="1" applyAlignment="1">
      <alignment horizontal="center"/>
    </xf>
    <xf numFmtId="171" fontId="22" fillId="0" borderId="16" xfId="0" applyNumberFormat="1" applyFont="1" applyFill="1" applyBorder="1" applyProtection="1">
      <protection locked="0"/>
    </xf>
    <xf numFmtId="171" fontId="22" fillId="0" borderId="43" xfId="0" applyNumberFormat="1" applyFont="1" applyFill="1" applyBorder="1" applyProtection="1">
      <protection locked="0"/>
    </xf>
    <xf numFmtId="171" fontId="23" fillId="0" borderId="16" xfId="0" applyNumberFormat="1" applyFont="1" applyFill="1" applyBorder="1" applyProtection="1">
      <protection locked="0"/>
    </xf>
    <xf numFmtId="168" fontId="25" fillId="0" borderId="0" xfId="0" applyNumberFormat="1" applyFont="1" applyFill="1" applyBorder="1" applyProtection="1">
      <protection locked="0"/>
    </xf>
    <xf numFmtId="168" fontId="25" fillId="0" borderId="0" xfId="0" applyNumberFormat="1" applyFont="1" applyFill="1" applyBorder="1" applyProtection="1"/>
    <xf numFmtId="171" fontId="23" fillId="24" borderId="21" xfId="0" applyNumberFormat="1" applyFont="1" applyFill="1" applyBorder="1" applyProtection="1">
      <protection locked="0"/>
    </xf>
    <xf numFmtId="171" fontId="23" fillId="24" borderId="19" xfId="0" applyNumberFormat="1" applyFont="1" applyFill="1" applyBorder="1" applyProtection="1">
      <protection locked="0"/>
    </xf>
    <xf numFmtId="169" fontId="22" fillId="0" borderId="20" xfId="43" applyNumberFormat="1" applyFont="1" applyFill="1" applyBorder="1" applyAlignment="1">
      <alignment horizontal="center" vertical="top" wrapText="1"/>
    </xf>
    <xf numFmtId="169" fontId="22" fillId="0" borderId="21" xfId="43" applyNumberFormat="1" applyFont="1" applyFill="1" applyBorder="1" applyAlignment="1">
      <alignment horizontal="center" vertical="top" wrapText="1"/>
    </xf>
    <xf numFmtId="169" fontId="22" fillId="0" borderId="22" xfId="43" applyNumberFormat="1" applyFont="1" applyFill="1" applyBorder="1" applyAlignment="1">
      <alignment horizontal="center" vertical="top" wrapText="1"/>
    </xf>
    <xf numFmtId="171" fontId="22" fillId="24" borderId="0" xfId="0" applyNumberFormat="1" applyFont="1" applyFill="1" applyBorder="1"/>
    <xf numFmtId="171" fontId="22" fillId="24" borderId="72" xfId="0" applyNumberFormat="1" applyFont="1" applyFill="1" applyBorder="1"/>
    <xf numFmtId="171" fontId="22" fillId="24" borderId="10" xfId="0" applyNumberFormat="1" applyFont="1" applyFill="1" applyBorder="1"/>
    <xf numFmtId="171" fontId="22" fillId="24" borderId="28" xfId="0" applyNumberFormat="1" applyFont="1" applyFill="1" applyBorder="1"/>
    <xf numFmtId="171" fontId="22" fillId="24" borderId="46" xfId="0" applyNumberFormat="1" applyFont="1" applyFill="1" applyBorder="1"/>
    <xf numFmtId="171" fontId="22" fillId="24" borderId="23" xfId="0" applyNumberFormat="1" applyFont="1" applyFill="1" applyBorder="1"/>
    <xf numFmtId="171" fontId="22" fillId="24" borderId="11" xfId="0" applyNumberFormat="1" applyFont="1" applyFill="1" applyBorder="1"/>
    <xf numFmtId="171" fontId="22" fillId="24" borderId="60" xfId="0" applyNumberFormat="1" applyFont="1" applyFill="1" applyBorder="1"/>
    <xf numFmtId="171" fontId="22" fillId="24" borderId="81" xfId="0" applyNumberFormat="1" applyFont="1" applyFill="1" applyBorder="1"/>
    <xf numFmtId="171" fontId="22" fillId="24" borderId="70" xfId="0" applyNumberFormat="1" applyFont="1" applyFill="1" applyBorder="1"/>
    <xf numFmtId="171" fontId="22" fillId="24" borderId="79" xfId="0" applyNumberFormat="1" applyFont="1" applyFill="1" applyBorder="1"/>
    <xf numFmtId="0" fontId="64" fillId="0" borderId="11" xfId="0" applyFont="1" applyFill="1" applyBorder="1" applyAlignment="1" applyProtection="1">
      <alignment horizontal="left"/>
    </xf>
    <xf numFmtId="171" fontId="23" fillId="0" borderId="76" xfId="0" applyNumberFormat="1" applyFont="1" applyFill="1" applyBorder="1" applyProtection="1"/>
    <xf numFmtId="171" fontId="23" fillId="0" borderId="77" xfId="0" applyNumberFormat="1" applyFont="1" applyFill="1" applyBorder="1" applyProtection="1"/>
    <xf numFmtId="171" fontId="23" fillId="0" borderId="82" xfId="0" applyNumberFormat="1" applyFont="1" applyFill="1" applyBorder="1" applyProtection="1"/>
    <xf numFmtId="171" fontId="23" fillId="0" borderId="82" xfId="0" applyNumberFormat="1" applyFont="1" applyBorder="1"/>
    <xf numFmtId="171" fontId="22" fillId="0" borderId="0" xfId="0" applyNumberFormat="1" applyFont="1" applyFill="1" applyBorder="1" applyProtection="1"/>
    <xf numFmtId="171" fontId="22" fillId="0" borderId="83" xfId="0" applyNumberFormat="1" applyFont="1" applyFill="1" applyBorder="1" applyProtection="1"/>
    <xf numFmtId="171" fontId="22" fillId="0" borderId="16" xfId="29" applyNumberFormat="1" applyFont="1" applyFill="1" applyBorder="1" applyProtection="1"/>
    <xf numFmtId="172" fontId="22" fillId="0" borderId="20" xfId="0" applyNumberFormat="1" applyFont="1" applyFill="1" applyBorder="1" applyProtection="1"/>
    <xf numFmtId="172" fontId="22" fillId="0" borderId="39" xfId="0" applyNumberFormat="1" applyFont="1" applyFill="1" applyBorder="1" applyProtection="1"/>
    <xf numFmtId="172" fontId="22" fillId="0" borderId="43" xfId="0" applyNumberFormat="1" applyFont="1" applyFill="1" applyBorder="1" applyProtection="1"/>
    <xf numFmtId="172" fontId="22" fillId="0" borderId="44" xfId="0" applyNumberFormat="1" applyFont="1" applyFill="1" applyBorder="1" applyProtection="1"/>
    <xf numFmtId="172" fontId="23" fillId="0" borderId="16" xfId="0" applyNumberFormat="1" applyFont="1" applyFill="1" applyBorder="1" applyProtection="1"/>
    <xf numFmtId="172" fontId="23" fillId="0" borderId="18" xfId="0" applyNumberFormat="1" applyFont="1" applyFill="1" applyBorder="1" applyProtection="1"/>
    <xf numFmtId="172" fontId="22" fillId="0" borderId="22" xfId="0" applyNumberFormat="1" applyFont="1" applyFill="1" applyBorder="1" applyProtection="1"/>
    <xf numFmtId="171" fontId="22" fillId="36" borderId="36" xfId="0" applyNumberFormat="1" applyFont="1" applyFill="1" applyBorder="1" applyProtection="1">
      <protection locked="0"/>
    </xf>
    <xf numFmtId="171" fontId="22" fillId="36" borderId="20" xfId="0" applyNumberFormat="1" applyFont="1" applyFill="1" applyBorder="1" applyProtection="1">
      <protection locked="0"/>
    </xf>
    <xf numFmtId="171" fontId="22" fillId="36" borderId="22" xfId="0" applyNumberFormat="1" applyFont="1" applyFill="1" applyBorder="1" applyProtection="1">
      <protection locked="0"/>
    </xf>
    <xf numFmtId="0" fontId="22" fillId="0" borderId="45" xfId="0" applyFont="1" applyFill="1" applyBorder="1" applyAlignment="1" applyProtection="1">
      <alignment horizontal="center"/>
      <protection locked="0"/>
    </xf>
    <xf numFmtId="0" fontId="22" fillId="0" borderId="28" xfId="0" applyFont="1" applyFill="1" applyBorder="1" applyAlignment="1" applyProtection="1">
      <alignment horizontal="left" indent="1"/>
    </xf>
    <xf numFmtId="0" fontId="22" fillId="0" borderId="45" xfId="0" applyFont="1" applyFill="1" applyBorder="1" applyAlignment="1" applyProtection="1">
      <alignment horizontal="left" indent="1"/>
    </xf>
    <xf numFmtId="0" fontId="26" fillId="0" borderId="0" xfId="0" applyNumberFormat="1" applyFont="1" applyFill="1" applyBorder="1" applyAlignment="1" applyProtection="1">
      <alignment horizontal="left"/>
    </xf>
    <xf numFmtId="0" fontId="22" fillId="0" borderId="14" xfId="0" applyNumberFormat="1" applyFont="1" applyBorder="1" applyAlignment="1" applyProtection="1">
      <alignment horizontal="center"/>
    </xf>
    <xf numFmtId="0" fontId="23" fillId="0" borderId="14" xfId="0" applyNumberFormat="1" applyFont="1" applyBorder="1" applyAlignment="1" applyProtection="1">
      <alignment horizontal="center"/>
      <protection locked="0"/>
    </xf>
    <xf numFmtId="0" fontId="22" fillId="0" borderId="14" xfId="0" applyNumberFormat="1" applyFont="1" applyBorder="1" applyAlignment="1" applyProtection="1">
      <alignment horizontal="center"/>
      <protection locked="0"/>
    </xf>
    <xf numFmtId="0" fontId="22" fillId="0" borderId="14" xfId="0" applyNumberFormat="1" applyFont="1" applyFill="1" applyBorder="1" applyAlignment="1" applyProtection="1">
      <alignment horizontal="center"/>
      <protection locked="0"/>
    </xf>
    <xf numFmtId="0" fontId="22" fillId="0" borderId="45" xfId="0" applyNumberFormat="1" applyFont="1" applyBorder="1" applyAlignment="1" applyProtection="1">
      <alignment horizontal="center"/>
    </xf>
    <xf numFmtId="0" fontId="22" fillId="0" borderId="60" xfId="0" applyNumberFormat="1" applyFont="1" applyBorder="1" applyAlignment="1" applyProtection="1">
      <alignment horizontal="center"/>
    </xf>
    <xf numFmtId="0" fontId="23" fillId="0" borderId="14" xfId="0" applyNumberFormat="1" applyFont="1" applyBorder="1" applyAlignment="1" applyProtection="1">
      <alignment horizontal="center"/>
    </xf>
    <xf numFmtId="0" fontId="22" fillId="0" borderId="55" xfId="0" applyNumberFormat="1" applyFont="1" applyBorder="1" applyAlignment="1" applyProtection="1">
      <alignment horizontal="center"/>
      <protection locked="0"/>
    </xf>
    <xf numFmtId="171" fontId="22" fillId="36" borderId="19" xfId="0" applyNumberFormat="1" applyFont="1" applyFill="1" applyBorder="1" applyProtection="1">
      <protection locked="0"/>
    </xf>
    <xf numFmtId="0" fontId="22" fillId="36" borderId="14" xfId="0" applyFont="1" applyFill="1" applyBorder="1" applyAlignment="1" applyProtection="1">
      <alignment horizontal="left" wrapText="1"/>
      <protection locked="0"/>
    </xf>
    <xf numFmtId="0" fontId="73" fillId="37" borderId="0" xfId="0" applyFont="1" applyFill="1" applyProtection="1"/>
    <xf numFmtId="0" fontId="74" fillId="37" borderId="0" xfId="0" applyFont="1" applyFill="1" applyAlignment="1" applyProtection="1">
      <alignment horizontal="right"/>
    </xf>
    <xf numFmtId="0" fontId="67" fillId="37" borderId="0" xfId="0" applyFont="1" applyFill="1" applyProtection="1"/>
    <xf numFmtId="0" fontId="75" fillId="37" borderId="0" xfId="0" applyFont="1" applyFill="1" applyProtection="1"/>
    <xf numFmtId="0" fontId="76" fillId="37" borderId="0" xfId="0" applyFont="1" applyFill="1" applyAlignment="1" applyProtection="1">
      <alignment horizontal="right"/>
    </xf>
    <xf numFmtId="0" fontId="68" fillId="36" borderId="75" xfId="0" applyFont="1" applyFill="1" applyBorder="1" applyProtection="1">
      <protection locked="0"/>
    </xf>
    <xf numFmtId="0" fontId="75" fillId="37" borderId="0" xfId="0" applyFont="1" applyFill="1" applyProtection="1">
      <protection locked="0"/>
    </xf>
    <xf numFmtId="49" fontId="75" fillId="37" borderId="0" xfId="0" applyNumberFormat="1" applyFont="1" applyFill="1" applyAlignment="1" applyProtection="1">
      <alignment horizontal="right"/>
    </xf>
    <xf numFmtId="0" fontId="56" fillId="36" borderId="0" xfId="0" applyFont="1" applyFill="1" applyAlignment="1" applyProtection="1">
      <alignment horizontal="left" indent="1"/>
      <protection locked="0"/>
    </xf>
    <xf numFmtId="0" fontId="75" fillId="37" borderId="10" xfId="0" applyFont="1" applyFill="1" applyBorder="1" applyAlignment="1" applyProtection="1">
      <alignment horizontal="left" indent="1"/>
      <protection locked="0"/>
    </xf>
    <xf numFmtId="49" fontId="76" fillId="37" borderId="0" xfId="0" applyNumberFormat="1" applyFont="1" applyFill="1" applyAlignment="1" applyProtection="1">
      <alignment horizontal="right"/>
    </xf>
    <xf numFmtId="0" fontId="75" fillId="37" borderId="0" xfId="0" applyFont="1" applyFill="1" applyAlignment="1" applyProtection="1">
      <alignment horizontal="right"/>
    </xf>
    <xf numFmtId="0" fontId="56" fillId="37" borderId="0" xfId="0" applyFont="1" applyFill="1" applyProtection="1">
      <protection locked="0"/>
    </xf>
    <xf numFmtId="0" fontId="22" fillId="0" borderId="14" xfId="0" applyFont="1" applyFill="1" applyBorder="1" applyAlignment="1" applyProtection="1">
      <alignment horizontal="left" indent="1"/>
    </xf>
    <xf numFmtId="171" fontId="22" fillId="0" borderId="10" xfId="0" applyNumberFormat="1" applyFont="1" applyBorder="1" applyAlignment="1">
      <alignment horizontal="left" indent="1"/>
    </xf>
    <xf numFmtId="0" fontId="32" fillId="0" borderId="72" xfId="0" applyFont="1" applyBorder="1" applyProtection="1">
      <protection hidden="1"/>
    </xf>
    <xf numFmtId="0" fontId="32" fillId="0" borderId="0" xfId="0" applyFont="1" applyProtection="1">
      <protection hidden="1"/>
    </xf>
    <xf numFmtId="0" fontId="32" fillId="0" borderId="0" xfId="0" applyFont="1"/>
    <xf numFmtId="0" fontId="32" fillId="0" borderId="0" xfId="0" applyFont="1" applyBorder="1" applyProtection="1">
      <protection hidden="1"/>
    </xf>
    <xf numFmtId="0" fontId="32" fillId="0" borderId="70" xfId="0" applyFont="1" applyBorder="1" applyProtection="1">
      <protection hidden="1"/>
    </xf>
    <xf numFmtId="0" fontId="69" fillId="0" borderId="0" xfId="0" applyFont="1" applyBorder="1" applyProtection="1">
      <protection hidden="1"/>
    </xf>
    <xf numFmtId="0" fontId="70" fillId="0" borderId="70" xfId="0" applyFont="1" applyBorder="1" applyProtection="1">
      <protection hidden="1"/>
    </xf>
    <xf numFmtId="0" fontId="21" fillId="0" borderId="84" xfId="0" applyFont="1" applyBorder="1" applyAlignment="1" applyProtection="1">
      <alignment horizontal="left" vertical="top" wrapText="1"/>
    </xf>
    <xf numFmtId="0" fontId="21" fillId="36" borderId="85" xfId="0" applyFont="1" applyFill="1" applyBorder="1" applyAlignment="1" applyProtection="1">
      <alignment horizontal="justify" vertical="center" wrapText="1"/>
      <protection locked="0" hidden="1"/>
    </xf>
    <xf numFmtId="0" fontId="32" fillId="0" borderId="0" xfId="0" applyFont="1" applyBorder="1" applyAlignment="1" applyProtection="1">
      <alignment horizontal="left" vertical="center"/>
    </xf>
    <xf numFmtId="0" fontId="32" fillId="0" borderId="0" xfId="0" applyFont="1" applyBorder="1" applyAlignment="1" applyProtection="1">
      <alignment horizontal="center" vertical="center" wrapText="1"/>
    </xf>
    <xf numFmtId="0" fontId="21" fillId="0" borderId="0" xfId="0" applyFont="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21" fillId="0" borderId="0" xfId="0" quotePrefix="1" applyNumberFormat="1" applyFont="1" applyProtection="1"/>
    <xf numFmtId="0" fontId="71" fillId="0" borderId="0" xfId="0" applyFont="1" applyAlignment="1">
      <alignment wrapText="1"/>
    </xf>
    <xf numFmtId="0" fontId="32" fillId="0" borderId="0" xfId="0" applyNumberFormat="1" applyFont="1" applyProtection="1"/>
    <xf numFmtId="0" fontId="21" fillId="0" borderId="23" xfId="0" applyFont="1" applyFill="1" applyBorder="1" applyAlignment="1" applyProtection="1">
      <alignment horizontal="left" vertical="top" wrapText="1"/>
    </xf>
    <xf numFmtId="0" fontId="21" fillId="0" borderId="72" xfId="0" applyFont="1" applyFill="1" applyBorder="1" applyAlignment="1" applyProtection="1">
      <alignment horizontal="justify" vertical="center" wrapText="1"/>
      <protection locked="0"/>
    </xf>
    <xf numFmtId="0" fontId="32" fillId="0" borderId="0" xfId="0" applyFont="1" applyAlignment="1" applyProtection="1">
      <alignment vertical="center"/>
    </xf>
    <xf numFmtId="0" fontId="21" fillId="0" borderId="28" xfId="0" applyFont="1" applyBorder="1" applyAlignment="1">
      <alignment vertical="center"/>
    </xf>
    <xf numFmtId="0" fontId="32" fillId="36" borderId="79" xfId="0" applyFont="1" applyFill="1" applyBorder="1" applyAlignment="1" applyProtection="1">
      <alignment vertical="center"/>
      <protection locked="0"/>
    </xf>
    <xf numFmtId="0" fontId="26" fillId="0" borderId="0" xfId="37" applyFont="1" applyAlignment="1" applyProtection="1"/>
    <xf numFmtId="0" fontId="32" fillId="0" borderId="0" xfId="0" applyFont="1" applyBorder="1" applyAlignment="1">
      <alignment vertical="center"/>
    </xf>
    <xf numFmtId="0" fontId="32" fillId="0" borderId="0" xfId="0" applyFont="1" applyAlignment="1" applyProtection="1">
      <alignment vertical="center"/>
      <protection hidden="1"/>
    </xf>
    <xf numFmtId="0" fontId="32" fillId="0" borderId="0" xfId="0" applyFont="1" applyAlignment="1">
      <alignment vertical="center"/>
    </xf>
    <xf numFmtId="0" fontId="32" fillId="0" borderId="23" xfId="0" applyFont="1" applyBorder="1" applyAlignment="1">
      <alignment vertical="center"/>
    </xf>
    <xf numFmtId="0" fontId="32" fillId="0" borderId="72" xfId="0" applyFont="1" applyBorder="1" applyAlignment="1">
      <alignment vertical="center"/>
    </xf>
    <xf numFmtId="0" fontId="21" fillId="0" borderId="10" xfId="0" applyFont="1" applyFill="1" applyBorder="1" applyAlignment="1" applyProtection="1">
      <alignment horizontal="justify" vertical="center" wrapText="1"/>
    </xf>
    <xf numFmtId="0" fontId="21" fillId="0" borderId="70" xfId="0" applyFont="1" applyFill="1" applyBorder="1" applyAlignment="1" applyProtection="1">
      <alignment horizontal="justify" vertical="center" wrapText="1"/>
      <protection locked="0" hidden="1"/>
    </xf>
    <xf numFmtId="0" fontId="21" fillId="0" borderId="0" xfId="0" applyFont="1" applyBorder="1" applyAlignment="1" applyProtection="1">
      <alignment horizontal="justify" vertical="top" wrapText="1"/>
    </xf>
    <xf numFmtId="0" fontId="21" fillId="0" borderId="23" xfId="0" applyFont="1" applyFill="1" applyBorder="1" applyAlignment="1" applyProtection="1">
      <alignment horizontal="justify" vertical="center" wrapText="1"/>
    </xf>
    <xf numFmtId="0" fontId="21" fillId="0" borderId="72" xfId="0" applyFont="1" applyFill="1" applyBorder="1" applyAlignment="1" applyProtection="1">
      <alignment horizontal="justify" vertical="center" wrapText="1"/>
    </xf>
    <xf numFmtId="0" fontId="21" fillId="0" borderId="10" xfId="0" applyFont="1" applyFill="1" applyBorder="1" applyAlignment="1" applyProtection="1">
      <alignment horizontal="left" vertical="top" wrapText="1"/>
    </xf>
    <xf numFmtId="0" fontId="32" fillId="0" borderId="0" xfId="37" applyFont="1" applyBorder="1" applyAlignment="1" applyProtection="1"/>
    <xf numFmtId="0" fontId="21" fillId="0" borderId="0" xfId="0" applyFont="1" applyFill="1" applyBorder="1" applyAlignment="1" applyProtection="1">
      <alignment horizontal="left" vertical="top" wrapText="1"/>
      <protection locked="0"/>
    </xf>
    <xf numFmtId="0" fontId="21" fillId="0" borderId="23" xfId="0" applyFont="1" applyFill="1" applyBorder="1" applyAlignment="1" applyProtection="1">
      <alignment horizontal="justify" vertical="top" wrapText="1"/>
    </xf>
    <xf numFmtId="0" fontId="21" fillId="0" borderId="72" xfId="0" applyFont="1" applyBorder="1" applyAlignment="1" applyProtection="1">
      <alignment horizontal="justify" vertical="top" wrapText="1"/>
    </xf>
    <xf numFmtId="0" fontId="21" fillId="0" borderId="0" xfId="0" applyFont="1" applyFill="1" applyBorder="1" applyAlignment="1" applyProtection="1">
      <alignment horizontal="justify" vertical="top" wrapText="1"/>
    </xf>
    <xf numFmtId="0" fontId="32" fillId="0" borderId="23" xfId="0" applyFont="1" applyBorder="1" applyAlignment="1" applyProtection="1">
      <alignment horizontal="justify" vertical="top" wrapText="1"/>
    </xf>
    <xf numFmtId="0" fontId="32" fillId="0" borderId="72" xfId="0" applyFont="1" applyBorder="1" applyAlignment="1" applyProtection="1">
      <alignment horizontal="justify" vertical="top" wrapText="1"/>
    </xf>
    <xf numFmtId="0" fontId="21" fillId="0" borderId="0" xfId="0" applyFont="1" applyAlignment="1" applyProtection="1">
      <alignment vertical="center"/>
    </xf>
    <xf numFmtId="0" fontId="21" fillId="0" borderId="0" xfId="0" applyFont="1" applyProtection="1"/>
    <xf numFmtId="0" fontId="21" fillId="0" borderId="84" xfId="0" applyFont="1" applyBorder="1" applyAlignment="1" applyProtection="1">
      <alignment horizontal="justify" wrapText="1"/>
    </xf>
    <xf numFmtId="0" fontId="32" fillId="0" borderId="85" xfId="0" applyFont="1" applyBorder="1" applyAlignment="1" applyProtection="1">
      <alignment horizontal="justify" wrapText="1"/>
    </xf>
    <xf numFmtId="0" fontId="32" fillId="0" borderId="80" xfId="0" applyFont="1" applyBorder="1" applyAlignment="1" applyProtection="1">
      <alignment horizontal="justify" wrapText="1"/>
    </xf>
    <xf numFmtId="0" fontId="32" fillId="36" borderId="71" xfId="0" applyFont="1" applyFill="1" applyBorder="1" applyAlignment="1" applyProtection="1">
      <alignment horizontal="justify" wrapText="1"/>
      <protection locked="0"/>
    </xf>
    <xf numFmtId="0" fontId="32" fillId="0" borderId="28" xfId="0" applyFont="1" applyBorder="1" applyAlignment="1" applyProtection="1">
      <alignment horizontal="justify" wrapText="1"/>
    </xf>
    <xf numFmtId="0" fontId="32" fillId="0" borderId="23" xfId="0" applyFont="1" applyFill="1" applyBorder="1" applyAlignment="1" applyProtection="1">
      <alignment horizontal="justify" wrapText="1"/>
    </xf>
    <xf numFmtId="173" fontId="32" fillId="0" borderId="72" xfId="0" applyNumberFormat="1" applyFont="1" applyFill="1" applyBorder="1" applyAlignment="1" applyProtection="1">
      <alignment horizontal="justify" wrapText="1"/>
      <protection locked="0"/>
    </xf>
    <xf numFmtId="0" fontId="21" fillId="0" borderId="80" xfId="0" applyFont="1" applyBorder="1" applyAlignment="1" applyProtection="1">
      <alignment horizontal="justify" wrapText="1"/>
    </xf>
    <xf numFmtId="0" fontId="32" fillId="0" borderId="71" xfId="0" applyFont="1" applyBorder="1" applyAlignment="1" applyProtection="1">
      <alignment horizontal="justify" wrapText="1"/>
    </xf>
    <xf numFmtId="0" fontId="32" fillId="0" borderId="71" xfId="0" applyFont="1" applyFill="1" applyBorder="1" applyAlignment="1" applyProtection="1">
      <alignment horizontal="justify" wrapText="1"/>
    </xf>
    <xf numFmtId="0" fontId="32" fillId="36" borderId="79" xfId="0" applyFont="1" applyFill="1" applyBorder="1" applyAlignment="1" applyProtection="1">
      <alignment horizontal="justify" wrapText="1"/>
      <protection locked="0"/>
    </xf>
    <xf numFmtId="0" fontId="32" fillId="0" borderId="72" xfId="0" applyFont="1" applyFill="1" applyBorder="1" applyAlignment="1" applyProtection="1">
      <alignment horizontal="justify" wrapText="1"/>
      <protection locked="0"/>
    </xf>
    <xf numFmtId="0" fontId="32" fillId="36" borderId="71" xfId="0" applyNumberFormat="1" applyFont="1" applyFill="1" applyBorder="1" applyAlignment="1" applyProtection="1">
      <alignment horizontal="justify" wrapText="1"/>
      <protection locked="0"/>
    </xf>
    <xf numFmtId="0" fontId="32" fillId="0" borderId="10" xfId="0" applyFont="1" applyBorder="1" applyAlignment="1" applyProtection="1">
      <alignment horizontal="justify" wrapText="1"/>
    </xf>
    <xf numFmtId="0" fontId="21" fillId="0" borderId="0" xfId="0" applyFont="1" applyBorder="1" applyProtection="1"/>
    <xf numFmtId="0" fontId="21" fillId="0" borderId="0" xfId="0" quotePrefix="1" applyNumberFormat="1" applyFont="1" applyBorder="1" applyProtection="1"/>
    <xf numFmtId="0" fontId="32" fillId="0" borderId="0" xfId="0" applyFont="1" applyBorder="1" applyProtection="1"/>
    <xf numFmtId="0" fontId="21" fillId="0" borderId="80" xfId="0" applyFont="1" applyBorder="1" applyAlignment="1" applyProtection="1">
      <alignment horizontal="left"/>
    </xf>
    <xf numFmtId="0" fontId="32" fillId="0" borderId="0" xfId="0" applyFont="1" applyBorder="1"/>
    <xf numFmtId="0" fontId="32" fillId="0" borderId="10" xfId="0" applyFont="1" applyFill="1" applyBorder="1" applyAlignment="1" applyProtection="1">
      <alignment horizontal="justify" wrapText="1"/>
    </xf>
    <xf numFmtId="0" fontId="32" fillId="0" borderId="70" xfId="0" applyFont="1" applyFill="1" applyBorder="1" applyAlignment="1" applyProtection="1">
      <alignment horizontal="justify" wrapText="1"/>
      <protection locked="0"/>
    </xf>
    <xf numFmtId="0" fontId="26" fillId="0" borderId="0" xfId="0" applyFont="1" applyProtection="1">
      <protection hidden="1"/>
    </xf>
    <xf numFmtId="0" fontId="32" fillId="0" borderId="0" xfId="37" applyFont="1" applyAlignment="1" applyProtection="1">
      <protection hidden="1"/>
    </xf>
    <xf numFmtId="0" fontId="72" fillId="0" borderId="0" xfId="37" applyFont="1" applyAlignment="1" applyProtection="1">
      <protection hidden="1"/>
    </xf>
    <xf numFmtId="0" fontId="32" fillId="0" borderId="0" xfId="0" applyFont="1" applyProtection="1">
      <protection locked="0" hidden="1"/>
    </xf>
    <xf numFmtId="0" fontId="32" fillId="0" borderId="0" xfId="0" applyFont="1" applyProtection="1">
      <protection locked="0"/>
    </xf>
    <xf numFmtId="0" fontId="72" fillId="0" borderId="0" xfId="37" applyFont="1" applyAlignment="1" applyProtection="1">
      <protection locked="0" hidden="1"/>
    </xf>
    <xf numFmtId="0" fontId="32" fillId="0" borderId="0" xfId="0" applyFont="1" applyFill="1" applyProtection="1"/>
    <xf numFmtId="0" fontId="23" fillId="0" borderId="20"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2" fillId="0" borderId="10" xfId="0" applyNumberFormat="1" applyFont="1" applyFill="1" applyBorder="1" applyAlignment="1" applyProtection="1">
      <alignment horizontal="left" vertical="top" wrapText="1" indent="1"/>
      <protection locked="0"/>
    </xf>
    <xf numFmtId="165" fontId="22" fillId="24" borderId="36" xfId="29" applyNumberFormat="1" applyFont="1" applyFill="1" applyBorder="1" applyAlignment="1" applyProtection="1">
      <alignment horizontal="left" vertical="top" wrapText="1"/>
      <protection locked="0"/>
    </xf>
    <xf numFmtId="2" fontId="22" fillId="24" borderId="36" xfId="29" applyNumberFormat="1" applyFont="1" applyFill="1" applyBorder="1" applyAlignment="1" applyProtection="1">
      <alignment horizontal="center" vertical="top" wrapText="1"/>
      <protection locked="0"/>
    </xf>
    <xf numFmtId="165" fontId="22" fillId="24" borderId="22" xfId="29" applyNumberFormat="1" applyFont="1" applyFill="1" applyBorder="1" applyAlignment="1" applyProtection="1">
      <alignment horizontal="left" vertical="top" wrapText="1"/>
      <protection locked="0"/>
    </xf>
    <xf numFmtId="172" fontId="22" fillId="24" borderId="36" xfId="29" applyNumberFormat="1" applyFont="1" applyFill="1" applyBorder="1" applyAlignment="1" applyProtection="1">
      <alignment horizontal="left" vertical="top" wrapText="1"/>
      <protection locked="0"/>
    </xf>
    <xf numFmtId="172" fontId="22" fillId="0" borderId="36" xfId="29" applyNumberFormat="1" applyFont="1" applyFill="1" applyBorder="1" applyAlignment="1" applyProtection="1">
      <alignment horizontal="left" vertical="top" wrapText="1"/>
    </xf>
    <xf numFmtId="172" fontId="22" fillId="24" borderId="36" xfId="43" applyNumberFormat="1" applyFont="1" applyFill="1" applyBorder="1" applyAlignment="1" applyProtection="1">
      <alignment horizontal="center" vertical="top" wrapText="1"/>
      <protection locked="0"/>
    </xf>
    <xf numFmtId="172" fontId="22" fillId="24" borderId="22" xfId="29" applyNumberFormat="1" applyFont="1" applyFill="1" applyBorder="1" applyAlignment="1" applyProtection="1">
      <alignment horizontal="left" vertical="top" wrapText="1"/>
      <protection locked="0"/>
    </xf>
    <xf numFmtId="0" fontId="22" fillId="0" borderId="32" xfId="0" applyNumberFormat="1" applyFont="1" applyBorder="1" applyAlignment="1" applyProtection="1">
      <alignment horizontal="center" vertical="top" wrapText="1"/>
    </xf>
    <xf numFmtId="0" fontId="22" fillId="0" borderId="22" xfId="0" applyNumberFormat="1" applyFont="1" applyFill="1" applyBorder="1" applyAlignment="1" applyProtection="1">
      <alignment horizontal="center" vertical="top" wrapText="1"/>
    </xf>
    <xf numFmtId="0" fontId="22" fillId="0" borderId="40" xfId="0" applyNumberFormat="1" applyFont="1" applyFill="1" applyBorder="1" applyAlignment="1" applyProtection="1">
      <alignment horizontal="center" vertical="top" wrapText="1"/>
    </xf>
    <xf numFmtId="0" fontId="22" fillId="0" borderId="22" xfId="0" applyNumberFormat="1" applyFont="1" applyFill="1" applyBorder="1" applyAlignment="1" applyProtection="1">
      <alignment horizontal="center" wrapText="1"/>
    </xf>
    <xf numFmtId="0" fontId="22" fillId="0" borderId="22" xfId="0" applyNumberFormat="1" applyFont="1" applyFill="1" applyBorder="1" applyAlignment="1" applyProtection="1">
      <alignment horizontal="center" vertical="top" wrapText="1"/>
      <protection locked="0"/>
    </xf>
    <xf numFmtId="0" fontId="22" fillId="0" borderId="40" xfId="0" applyNumberFormat="1" applyFont="1" applyFill="1" applyBorder="1" applyAlignment="1" applyProtection="1">
      <alignment horizontal="center" vertical="top" wrapText="1"/>
      <protection locked="0"/>
    </xf>
    <xf numFmtId="0" fontId="22" fillId="0" borderId="27" xfId="0" applyFont="1" applyBorder="1" applyAlignment="1" applyProtection="1">
      <alignment horizontal="center" vertical="top" wrapText="1"/>
    </xf>
    <xf numFmtId="0" fontId="26" fillId="0" borderId="0" xfId="0" applyFont="1" applyAlignment="1">
      <alignment horizontal="left"/>
    </xf>
    <xf numFmtId="0" fontId="17" fillId="0" borderId="0" xfId="0" applyFont="1" applyAlignment="1">
      <alignment horizontal="left" indent="1"/>
    </xf>
    <xf numFmtId="0" fontId="26" fillId="0" borderId="46" xfId="0" applyNumberFormat="1" applyFont="1" applyFill="1" applyBorder="1" applyAlignment="1">
      <alignment horizontal="center"/>
    </xf>
    <xf numFmtId="0" fontId="22" fillId="0" borderId="0" xfId="0" applyNumberFormat="1" applyFont="1" applyFill="1" applyBorder="1"/>
    <xf numFmtId="0" fontId="23" fillId="0" borderId="30" xfId="0" applyFont="1" applyFill="1" applyBorder="1" applyAlignment="1">
      <alignment vertical="center" wrapText="1"/>
    </xf>
    <xf numFmtId="0" fontId="23" fillId="0" borderId="20" xfId="0" applyFont="1" applyFill="1" applyBorder="1" applyAlignment="1">
      <alignment vertical="center" wrapText="1"/>
    </xf>
    <xf numFmtId="0" fontId="23" fillId="0" borderId="31" xfId="0" applyFont="1" applyFill="1" applyBorder="1" applyAlignment="1">
      <alignment horizontal="center" vertical="center" wrapText="1"/>
    </xf>
    <xf numFmtId="0" fontId="23" fillId="0" borderId="21" xfId="0" applyFont="1" applyFill="1" applyBorder="1" applyAlignment="1">
      <alignment vertical="center" wrapText="1"/>
    </xf>
    <xf numFmtId="0" fontId="23" fillId="0" borderId="32"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6" fillId="0" borderId="32" xfId="0" applyNumberFormat="1" applyFont="1" applyFill="1" applyBorder="1" applyAlignment="1">
      <alignment horizontal="center"/>
    </xf>
    <xf numFmtId="0" fontId="26" fillId="24" borderId="22" xfId="0" applyNumberFormat="1" applyFont="1" applyFill="1" applyBorder="1" applyAlignment="1" applyProtection="1">
      <alignment horizontal="center"/>
      <protection locked="0"/>
    </xf>
    <xf numFmtId="0" fontId="26" fillId="24" borderId="40" xfId="0" applyNumberFormat="1" applyFont="1" applyFill="1" applyBorder="1" applyAlignment="1" applyProtection="1">
      <alignment horizontal="center"/>
      <protection locked="0"/>
    </xf>
    <xf numFmtId="0" fontId="22" fillId="0" borderId="22" xfId="0" applyNumberFormat="1" applyFont="1" applyFill="1" applyBorder="1"/>
    <xf numFmtId="0" fontId="26" fillId="24" borderId="27" xfId="0" applyNumberFormat="1" applyFont="1" applyFill="1" applyBorder="1" applyAlignment="1" applyProtection="1">
      <alignment horizontal="center"/>
      <protection locked="0"/>
    </xf>
    <xf numFmtId="0" fontId="23" fillId="0" borderId="26" xfId="0" applyFont="1" applyFill="1" applyBorder="1" applyAlignment="1">
      <alignment horizontal="center" vertical="center" wrapText="1"/>
    </xf>
    <xf numFmtId="0" fontId="26" fillId="0" borderId="0" xfId="0" applyNumberFormat="1" applyFont="1" applyProtection="1"/>
    <xf numFmtId="0" fontId="20" fillId="0" borderId="0" xfId="0" applyFont="1" applyFill="1"/>
    <xf numFmtId="0" fontId="20" fillId="0" borderId="0" xfId="0" applyFont="1" applyFill="1" applyAlignment="1">
      <alignment horizontal="left" indent="1"/>
    </xf>
    <xf numFmtId="0" fontId="17" fillId="0" borderId="0" xfId="0" applyFont="1" applyFill="1" applyAlignment="1">
      <alignment horizontal="left" indent="1"/>
    </xf>
    <xf numFmtId="168" fontId="16" fillId="0" borderId="0" xfId="36" applyNumberFormat="1" applyFill="1" applyBorder="1" applyAlignment="1" applyProtection="1"/>
    <xf numFmtId="0" fontId="55" fillId="0" borderId="0" xfId="0" applyNumberFormat="1" applyFont="1" applyProtection="1"/>
    <xf numFmtId="0" fontId="55" fillId="0" borderId="0" xfId="0" applyFont="1" applyAlignment="1" applyProtection="1">
      <alignment vertical="center"/>
    </xf>
    <xf numFmtId="0" fontId="55" fillId="0" borderId="0" xfId="0" applyFont="1" applyProtection="1"/>
    <xf numFmtId="0" fontId="0" fillId="0" borderId="0" xfId="0" applyFont="1" applyProtection="1"/>
    <xf numFmtId="0" fontId="17" fillId="0" borderId="0" xfId="0" applyFont="1" applyAlignment="1">
      <alignment horizontal="left"/>
    </xf>
    <xf numFmtId="0" fontId="26" fillId="24" borderId="20" xfId="0" applyNumberFormat="1" applyFont="1" applyFill="1" applyBorder="1" applyAlignment="1" applyProtection="1">
      <alignment horizontal="center"/>
      <protection locked="0"/>
    </xf>
    <xf numFmtId="0" fontId="26" fillId="24" borderId="0" xfId="0" applyNumberFormat="1" applyFont="1" applyFill="1" applyBorder="1" applyAlignment="1" applyProtection="1">
      <alignment horizontal="center"/>
      <protection locked="0"/>
    </xf>
    <xf numFmtId="172" fontId="23" fillId="24" borderId="39" xfId="29" applyNumberFormat="1" applyFont="1" applyFill="1" applyBorder="1" applyAlignment="1" applyProtection="1">
      <alignment horizontal="center"/>
      <protection locked="0"/>
    </xf>
    <xf numFmtId="0" fontId="26" fillId="24" borderId="39" xfId="0" applyNumberFormat="1" applyFont="1" applyFill="1" applyBorder="1" applyAlignment="1" applyProtection="1">
      <alignment horizontal="center"/>
      <protection locked="0"/>
    </xf>
    <xf numFmtId="172" fontId="23" fillId="24" borderId="25" xfId="29" applyNumberFormat="1" applyFont="1" applyFill="1" applyBorder="1" applyAlignment="1" applyProtection="1">
      <alignment horizontal="center"/>
      <protection locked="0"/>
    </xf>
    <xf numFmtId="0" fontId="26" fillId="24" borderId="25" xfId="0" applyNumberFormat="1" applyFont="1" applyFill="1" applyBorder="1" applyAlignment="1" applyProtection="1">
      <alignment horizontal="center"/>
      <protection locked="0"/>
    </xf>
    <xf numFmtId="0" fontId="26" fillId="24" borderId="38" xfId="0" applyNumberFormat="1" applyFont="1" applyFill="1" applyBorder="1" applyAlignment="1" applyProtection="1">
      <alignment horizontal="center"/>
      <protection locked="0"/>
    </xf>
    <xf numFmtId="0" fontId="26" fillId="24" borderId="53" xfId="0" applyNumberFormat="1" applyFont="1" applyFill="1" applyBorder="1" applyAlignment="1" applyProtection="1">
      <alignment horizontal="center"/>
      <protection locked="0"/>
    </xf>
    <xf numFmtId="167" fontId="22" fillId="0" borderId="20" xfId="43" applyNumberFormat="1" applyFont="1" applyFill="1" applyBorder="1" applyAlignment="1" applyProtection="1">
      <alignment horizontal="center" vertical="top" wrapText="1"/>
      <protection locked="0"/>
    </xf>
    <xf numFmtId="167" fontId="23" fillId="24" borderId="36" xfId="43" applyNumberFormat="1" applyFont="1" applyFill="1" applyBorder="1" applyAlignment="1" applyProtection="1">
      <alignment horizontal="center" vertical="top" wrapText="1"/>
      <protection locked="0"/>
    </xf>
    <xf numFmtId="167" fontId="26" fillId="0" borderId="16" xfId="43" applyNumberFormat="1" applyFont="1" applyFill="1" applyBorder="1" applyAlignment="1">
      <alignment horizontal="center" vertical="top" wrapText="1"/>
    </xf>
    <xf numFmtId="0" fontId="22" fillId="0" borderId="0" xfId="0" applyFont="1" applyFill="1" applyAlignment="1">
      <alignment horizontal="right"/>
    </xf>
    <xf numFmtId="171" fontId="22" fillId="0" borderId="0" xfId="0" applyNumberFormat="1" applyFont="1" applyFill="1"/>
    <xf numFmtId="172" fontId="22" fillId="24" borderId="58" xfId="29" applyNumberFormat="1" applyFont="1" applyFill="1" applyBorder="1" applyAlignment="1" applyProtection="1">
      <alignment horizontal="left" vertical="top" wrapText="1"/>
      <protection locked="0"/>
    </xf>
    <xf numFmtId="172" fontId="22" fillId="24" borderId="39" xfId="29" applyNumberFormat="1" applyFont="1" applyFill="1" applyBorder="1" applyAlignment="1" applyProtection="1">
      <alignment horizontal="left" vertical="top" wrapText="1"/>
      <protection locked="0"/>
    </xf>
    <xf numFmtId="0" fontId="22" fillId="0" borderId="61" xfId="0" applyFont="1" applyBorder="1" applyAlignment="1" applyProtection="1">
      <alignment horizontal="center" vertical="top" wrapText="1"/>
    </xf>
    <xf numFmtId="172" fontId="22" fillId="24" borderId="38" xfId="29" applyNumberFormat="1" applyFont="1" applyFill="1" applyBorder="1" applyAlignment="1" applyProtection="1">
      <alignment horizontal="left" vertical="top" wrapText="1"/>
      <protection locked="0"/>
    </xf>
    <xf numFmtId="172" fontId="22" fillId="24" borderId="40" xfId="29" applyNumberFormat="1" applyFont="1" applyFill="1" applyBorder="1" applyAlignment="1" applyProtection="1">
      <alignment horizontal="left" vertical="top" wrapText="1"/>
      <protection locked="0"/>
    </xf>
    <xf numFmtId="0" fontId="27" fillId="0" borderId="81" xfId="0" applyFont="1" applyBorder="1"/>
    <xf numFmtId="0" fontId="26" fillId="0" borderId="81" xfId="0" applyFont="1" applyBorder="1" applyAlignment="1">
      <alignment horizontal="center"/>
    </xf>
    <xf numFmtId="168" fontId="25" fillId="0" borderId="81" xfId="0" applyNumberFormat="1" applyFont="1" applyBorder="1"/>
    <xf numFmtId="0" fontId="23" fillId="0" borderId="57" xfId="0" applyFont="1" applyBorder="1" applyAlignment="1">
      <alignment wrapText="1"/>
    </xf>
    <xf numFmtId="0" fontId="23" fillId="0" borderId="80" xfId="0" applyFont="1" applyBorder="1"/>
    <xf numFmtId="0" fontId="22" fillId="0" borderId="75" xfId="0" applyFont="1" applyBorder="1" applyAlignment="1">
      <alignment horizontal="center"/>
    </xf>
    <xf numFmtId="171" fontId="23" fillId="0" borderId="86" xfId="0" applyNumberFormat="1" applyFont="1" applyBorder="1"/>
    <xf numFmtId="171" fontId="22" fillId="24" borderId="22" xfId="0" applyNumberFormat="1" applyFont="1" applyFill="1" applyBorder="1" applyAlignment="1" applyProtection="1">
      <alignment horizontal="center"/>
      <protection locked="0"/>
    </xf>
    <xf numFmtId="167" fontId="22" fillId="24" borderId="19" xfId="43" applyNumberFormat="1" applyFont="1" applyFill="1" applyBorder="1" applyAlignment="1" applyProtection="1">
      <alignment horizontal="right" vertical="top" wrapText="1"/>
      <protection locked="0"/>
    </xf>
    <xf numFmtId="167" fontId="22" fillId="24" borderId="20" xfId="43" applyNumberFormat="1" applyFont="1" applyFill="1" applyBorder="1" applyAlignment="1" applyProtection="1">
      <alignment horizontal="right" vertical="top" wrapText="1"/>
      <protection locked="0"/>
    </xf>
    <xf numFmtId="167" fontId="22" fillId="24" borderId="21" xfId="43" applyNumberFormat="1" applyFont="1" applyFill="1" applyBorder="1" applyAlignment="1" applyProtection="1">
      <alignment horizontal="right" vertical="top" wrapText="1"/>
      <protection locked="0"/>
    </xf>
    <xf numFmtId="0" fontId="22" fillId="24" borderId="22" xfId="0" applyNumberFormat="1" applyFont="1" applyFill="1" applyBorder="1" applyProtection="1">
      <protection locked="0"/>
    </xf>
    <xf numFmtId="0" fontId="22" fillId="24" borderId="40" xfId="0" applyNumberFormat="1" applyFont="1" applyFill="1" applyBorder="1" applyProtection="1">
      <protection locked="0"/>
    </xf>
    <xf numFmtId="0" fontId="22" fillId="24" borderId="20" xfId="29" applyNumberFormat="1" applyFont="1" applyFill="1" applyBorder="1" applyProtection="1">
      <protection locked="0"/>
    </xf>
    <xf numFmtId="0" fontId="22" fillId="24" borderId="39" xfId="29" applyNumberFormat="1" applyFont="1" applyFill="1" applyBorder="1" applyProtection="1">
      <protection locked="0"/>
    </xf>
    <xf numFmtId="0" fontId="16" fillId="36" borderId="70" xfId="36" applyFill="1" applyBorder="1" applyAlignment="1" applyProtection="1">
      <alignment horizontal="justify" vertical="top" wrapText="1"/>
      <protection locked="0"/>
    </xf>
    <xf numFmtId="0" fontId="16" fillId="36" borderId="70" xfId="36" applyFill="1" applyBorder="1" applyAlignment="1" applyProtection="1">
      <alignment horizontal="left" vertical="top" wrapText="1"/>
      <protection locked="0"/>
    </xf>
    <xf numFmtId="0" fontId="77" fillId="36" borderId="71" xfId="4183" applyFont="1" applyFill="1" applyBorder="1" applyAlignment="1" applyProtection="1">
      <alignment horizontal="justify" wrapText="1"/>
      <protection locked="0"/>
    </xf>
    <xf numFmtId="173" fontId="77" fillId="36" borderId="79" xfId="4183" applyNumberFormat="1" applyFont="1" applyFill="1" applyBorder="1" applyAlignment="1" applyProtection="1">
      <alignment horizontal="justify" wrapText="1"/>
      <protection locked="0"/>
    </xf>
    <xf numFmtId="0" fontId="77" fillId="36" borderId="71" xfId="4197" applyFont="1" applyFill="1" applyBorder="1" applyAlignment="1" applyProtection="1">
      <alignment horizontal="justify" wrapText="1"/>
      <protection locked="0"/>
    </xf>
    <xf numFmtId="173" fontId="77" fillId="36" borderId="79" xfId="4197" applyNumberFormat="1" applyFont="1" applyFill="1" applyBorder="1" applyAlignment="1" applyProtection="1">
      <alignment horizontal="justify" wrapText="1"/>
      <protection locked="0"/>
    </xf>
    <xf numFmtId="0" fontId="77" fillId="36" borderId="71" xfId="4188" applyFont="1" applyFill="1" applyBorder="1" applyAlignment="1" applyProtection="1">
      <alignment horizontal="justify" wrapText="1"/>
      <protection locked="0"/>
    </xf>
    <xf numFmtId="0" fontId="77" fillId="36" borderId="79" xfId="4188" applyFont="1" applyFill="1" applyBorder="1" applyAlignment="1" applyProtection="1">
      <alignment horizontal="justify" wrapText="1"/>
      <protection locked="0"/>
    </xf>
    <xf numFmtId="0" fontId="77" fillId="24" borderId="71" xfId="4206" applyNumberFormat="1" applyFont="1" applyFill="1" applyBorder="1" applyAlignment="1" applyProtection="1">
      <alignment horizontal="justify" wrapText="1"/>
      <protection locked="0"/>
    </xf>
    <xf numFmtId="0" fontId="16" fillId="36" borderId="71" xfId="36" applyNumberFormat="1" applyFill="1" applyBorder="1" applyAlignment="1" applyProtection="1">
      <alignment horizontal="justify" wrapText="1"/>
      <protection locked="0"/>
    </xf>
    <xf numFmtId="0" fontId="77" fillId="24" borderId="71" xfId="4206" quotePrefix="1" applyNumberFormat="1" applyFont="1" applyFill="1" applyBorder="1" applyAlignment="1" applyProtection="1">
      <alignment horizontal="justify" wrapText="1"/>
      <protection locked="0"/>
    </xf>
    <xf numFmtId="0" fontId="77" fillId="24" borderId="71" xfId="4187" applyFont="1" applyFill="1" applyBorder="1" applyAlignment="1" applyProtection="1">
      <alignment horizontal="justify" wrapText="1"/>
      <protection locked="0"/>
    </xf>
    <xf numFmtId="0" fontId="16" fillId="24" borderId="70" xfId="36" applyFill="1" applyBorder="1" applyAlignment="1" applyProtection="1">
      <alignment horizontal="justify" wrapText="1"/>
      <protection locked="0"/>
    </xf>
    <xf numFmtId="3" fontId="77" fillId="24" borderId="71" xfId="4187" quotePrefix="1" applyNumberFormat="1" applyFont="1" applyFill="1" applyBorder="1" applyAlignment="1" applyProtection="1">
      <alignment horizontal="justify" wrapText="1"/>
      <protection locked="0"/>
    </xf>
    <xf numFmtId="0" fontId="32" fillId="36" borderId="71" xfId="4181" applyFont="1" applyFill="1" applyBorder="1" applyAlignment="1" applyProtection="1">
      <alignment horizontal="justify" wrapText="1"/>
      <protection locked="0"/>
    </xf>
    <xf numFmtId="3" fontId="32" fillId="36" borderId="71" xfId="4181" quotePrefix="1" applyNumberFormat="1" applyFont="1" applyFill="1" applyBorder="1" applyAlignment="1" applyProtection="1">
      <alignment horizontal="justify" wrapText="1"/>
      <protection locked="0"/>
    </xf>
    <xf numFmtId="0" fontId="78" fillId="36" borderId="79" xfId="36" applyFont="1" applyFill="1" applyBorder="1" applyAlignment="1" applyProtection="1">
      <alignment horizontal="justify" wrapText="1"/>
      <protection locked="0"/>
    </xf>
    <xf numFmtId="0" fontId="32" fillId="36" borderId="71" xfId="4190" applyFont="1" applyFill="1" applyBorder="1" applyAlignment="1" applyProtection="1">
      <alignment horizontal="justify" wrapText="1"/>
      <protection locked="0"/>
    </xf>
    <xf numFmtId="0" fontId="72" fillId="36" borderId="79" xfId="36" applyFont="1" applyFill="1" applyBorder="1" applyAlignment="1" applyProtection="1">
      <alignment horizontal="justify" wrapText="1"/>
      <protection locked="0"/>
    </xf>
    <xf numFmtId="3" fontId="32" fillId="36" borderId="71" xfId="4190" quotePrefix="1" applyNumberFormat="1" applyFont="1" applyFill="1" applyBorder="1" applyAlignment="1" applyProtection="1">
      <alignment horizontal="justify" wrapText="1"/>
      <protection locked="0"/>
    </xf>
    <xf numFmtId="0" fontId="32" fillId="36" borderId="71" xfId="4185" applyFont="1" applyFill="1" applyBorder="1" applyAlignment="1" applyProtection="1">
      <alignment horizontal="justify" wrapText="1"/>
      <protection locked="0"/>
    </xf>
    <xf numFmtId="0" fontId="77" fillId="36" borderId="71" xfId="4180" applyFont="1" applyFill="1" applyBorder="1" applyAlignment="1" applyProtection="1">
      <alignment horizontal="justify" wrapText="1"/>
      <protection locked="0"/>
    </xf>
    <xf numFmtId="0" fontId="16" fillId="24" borderId="71" xfId="36" applyFont="1" applyFill="1" applyBorder="1" applyAlignment="1" applyProtection="1">
      <alignment horizontal="justify" wrapText="1"/>
      <protection locked="0"/>
    </xf>
    <xf numFmtId="0" fontId="77" fillId="36" borderId="71" xfId="4203" applyFont="1" applyFill="1" applyBorder="1" applyAlignment="1" applyProtection="1">
      <alignment horizontal="justify" wrapText="1"/>
      <protection locked="0"/>
    </xf>
    <xf numFmtId="0" fontId="77" fillId="36" borderId="71" xfId="4203" quotePrefix="1" applyFont="1" applyFill="1" applyBorder="1" applyAlignment="1" applyProtection="1">
      <alignment horizontal="justify" wrapText="1"/>
      <protection locked="0"/>
    </xf>
    <xf numFmtId="0" fontId="16" fillId="36" borderId="79" xfId="36" applyFont="1" applyFill="1" applyBorder="1" applyAlignment="1" applyProtection="1">
      <alignment horizontal="justify" wrapText="1"/>
      <protection locked="0"/>
    </xf>
    <xf numFmtId="0" fontId="32" fillId="36" borderId="71" xfId="4210" applyFont="1" applyFill="1" applyBorder="1" applyAlignment="1" applyProtection="1">
      <alignment horizontal="justify" wrapText="1"/>
      <protection locked="0"/>
    </xf>
    <xf numFmtId="3" fontId="32" fillId="36" borderId="71" xfId="4210" quotePrefix="1" applyNumberFormat="1" applyFont="1" applyFill="1" applyBorder="1" applyAlignment="1" applyProtection="1">
      <alignment horizontal="justify" wrapText="1"/>
      <protection locked="0"/>
    </xf>
    <xf numFmtId="3" fontId="32" fillId="36" borderId="71" xfId="4210" applyNumberFormat="1" applyFont="1" applyFill="1" applyBorder="1" applyAlignment="1" applyProtection="1">
      <alignment horizontal="justify" wrapText="1"/>
      <protection locked="0"/>
    </xf>
    <xf numFmtId="0" fontId="32" fillId="36" borderId="71" xfId="4210" quotePrefix="1" applyFont="1" applyFill="1" applyBorder="1" applyAlignment="1" applyProtection="1">
      <alignment horizontal="justify" wrapText="1"/>
      <protection locked="0"/>
    </xf>
    <xf numFmtId="0" fontId="16" fillId="36" borderId="70" xfId="36" applyFill="1" applyBorder="1" applyAlignment="1" applyProtection="1">
      <alignment horizontal="justify" wrapText="1"/>
      <protection locked="0"/>
    </xf>
    <xf numFmtId="0" fontId="77" fillId="24" borderId="71" xfId="4231" applyFont="1" applyFill="1" applyBorder="1" applyAlignment="1" applyProtection="1">
      <alignment horizontal="justify" wrapText="1"/>
      <protection locked="0"/>
    </xf>
    <xf numFmtId="0" fontId="16" fillId="24" borderId="79" xfId="36" applyFill="1" applyBorder="1" applyAlignment="1" applyProtection="1">
      <alignment horizontal="justify" wrapText="1"/>
      <protection locked="0"/>
    </xf>
    <xf numFmtId="0" fontId="32" fillId="36" borderId="71" xfId="4218" applyFont="1" applyFill="1" applyBorder="1" applyAlignment="1" applyProtection="1">
      <alignment horizontal="justify" wrapText="1"/>
      <protection locked="0"/>
    </xf>
    <xf numFmtId="0" fontId="32" fillId="36" borderId="79" xfId="4218" applyFont="1" applyFill="1" applyBorder="1" applyAlignment="1" applyProtection="1">
      <alignment horizontal="justify" wrapText="1"/>
      <protection locked="0"/>
    </xf>
    <xf numFmtId="3" fontId="32" fillId="36" borderId="71" xfId="4218" quotePrefix="1" applyNumberFormat="1" applyFont="1" applyFill="1" applyBorder="1" applyAlignment="1" applyProtection="1">
      <alignment horizontal="justify" wrapText="1"/>
      <protection locked="0"/>
    </xf>
    <xf numFmtId="0" fontId="26" fillId="36" borderId="10" xfId="4381" applyFont="1" applyFill="1" applyBorder="1" applyAlignment="1" applyProtection="1">
      <alignment horizontal="left" indent="1"/>
      <protection locked="0"/>
    </xf>
    <xf numFmtId="171" fontId="22" fillId="36" borderId="20" xfId="4437" applyNumberFormat="1" applyFont="1" applyFill="1" applyBorder="1" applyProtection="1">
      <protection locked="0"/>
    </xf>
    <xf numFmtId="171" fontId="22" fillId="36" borderId="19" xfId="4437" applyNumberFormat="1" applyFont="1" applyFill="1" applyBorder="1" applyProtection="1">
      <protection locked="0"/>
    </xf>
    <xf numFmtId="171" fontId="22" fillId="36" borderId="70" xfId="4437" applyNumberFormat="1" applyFont="1" applyFill="1" applyBorder="1" applyProtection="1">
      <protection locked="0"/>
    </xf>
    <xf numFmtId="3" fontId="22" fillId="24" borderId="20" xfId="0" applyNumberFormat="1" applyFont="1" applyFill="1" applyBorder="1" applyProtection="1">
      <protection locked="0"/>
    </xf>
    <xf numFmtId="3" fontId="22" fillId="24" borderId="39" xfId="0" applyNumberFormat="1" applyFont="1" applyFill="1" applyBorder="1" applyProtection="1">
      <protection locked="0"/>
    </xf>
    <xf numFmtId="3" fontId="22" fillId="24" borderId="20" xfId="29" applyNumberFormat="1" applyFont="1" applyFill="1" applyBorder="1" applyProtection="1">
      <protection locked="0"/>
    </xf>
    <xf numFmtId="171" fontId="22" fillId="36" borderId="20" xfId="4493" applyNumberFormat="1" applyFont="1" applyFill="1" applyBorder="1" applyProtection="1">
      <protection locked="0"/>
    </xf>
    <xf numFmtId="171" fontId="22" fillId="36" borderId="19" xfId="4493" applyNumberFormat="1" applyFont="1" applyFill="1" applyBorder="1" applyProtection="1">
      <protection locked="0"/>
    </xf>
    <xf numFmtId="171" fontId="22" fillId="36" borderId="20" xfId="4502" applyNumberFormat="1" applyFont="1" applyFill="1" applyBorder="1" applyProtection="1">
      <protection locked="0"/>
    </xf>
    <xf numFmtId="171" fontId="22" fillId="36" borderId="19" xfId="4502" applyNumberFormat="1" applyFont="1" applyFill="1" applyBorder="1" applyProtection="1">
      <protection locked="0"/>
    </xf>
    <xf numFmtId="171" fontId="22" fillId="36" borderId="70" xfId="4502" applyNumberFormat="1" applyFont="1" applyFill="1" applyBorder="1" applyProtection="1">
      <protection locked="0"/>
    </xf>
    <xf numFmtId="0" fontId="22" fillId="36" borderId="10" xfId="4660" applyNumberFormat="1" applyFont="1" applyFill="1" applyBorder="1" applyAlignment="1" applyProtection="1">
      <alignment horizontal="left" indent="2"/>
      <protection locked="0"/>
    </xf>
    <xf numFmtId="0" fontId="22" fillId="36" borderId="10" xfId="4661" applyNumberFormat="1" applyFont="1" applyFill="1" applyBorder="1" applyAlignment="1" applyProtection="1">
      <alignment horizontal="left" indent="1"/>
      <protection locked="0"/>
    </xf>
    <xf numFmtId="0" fontId="26" fillId="36" borderId="10" xfId="4662" applyNumberFormat="1" applyFont="1" applyFill="1" applyBorder="1" applyAlignment="1" applyProtection="1">
      <alignment horizontal="left" indent="1"/>
      <protection locked="0"/>
    </xf>
    <xf numFmtId="0" fontId="26" fillId="36" borderId="10" xfId="4663" applyNumberFormat="1" applyFont="1" applyFill="1" applyBorder="1" applyAlignment="1" applyProtection="1">
      <alignment horizontal="left" indent="1"/>
      <protection locked="0"/>
    </xf>
    <xf numFmtId="0" fontId="22" fillId="36" borderId="10" xfId="4663" applyNumberFormat="1" applyFont="1" applyFill="1" applyBorder="1" applyAlignment="1" applyProtection="1">
      <alignment horizontal="left" indent="1"/>
      <protection locked="0"/>
    </xf>
    <xf numFmtId="171" fontId="22" fillId="36" borderId="22" xfId="4726" applyNumberFormat="1" applyFont="1" applyFill="1" applyBorder="1" applyAlignment="1" applyProtection="1">
      <alignment horizontal="left" vertical="top" wrapText="1"/>
      <protection locked="0"/>
    </xf>
    <xf numFmtId="171" fontId="22" fillId="36" borderId="40" xfId="4728" applyNumberFormat="1" applyFont="1" applyFill="1" applyBorder="1" applyAlignment="1" applyProtection="1">
      <alignment horizontal="center" vertical="top" wrapText="1"/>
      <protection locked="0"/>
    </xf>
    <xf numFmtId="0" fontId="22" fillId="36" borderId="70" xfId="4725" applyNumberFormat="1" applyFont="1" applyFill="1" applyBorder="1" applyAlignment="1" applyProtection="1">
      <alignment horizontal="left" vertical="top" wrapText="1"/>
      <protection locked="0"/>
    </xf>
    <xf numFmtId="172" fontId="22" fillId="36" borderId="10" xfId="4732" applyNumberFormat="1" applyFont="1" applyFill="1" applyBorder="1" applyAlignment="1" applyProtection="1">
      <alignment horizontal="center" vertical="top" wrapText="1"/>
      <protection locked="0"/>
    </xf>
    <xf numFmtId="172" fontId="22" fillId="36" borderId="22" xfId="4727" applyNumberFormat="1" applyFont="1" applyFill="1" applyBorder="1" applyAlignment="1" applyProtection="1">
      <alignment horizontal="left" vertical="top" wrapText="1"/>
      <protection locked="0"/>
    </xf>
    <xf numFmtId="165" fontId="22" fillId="36" borderId="22" xfId="4734" applyNumberFormat="1" applyFont="1" applyFill="1" applyBorder="1" applyAlignment="1" applyProtection="1">
      <alignment horizontal="left" vertical="top" wrapText="1"/>
      <protection locked="0"/>
    </xf>
    <xf numFmtId="171" fontId="22" fillId="36" borderId="22" xfId="4736" applyNumberFormat="1" applyFont="1" applyFill="1" applyBorder="1" applyAlignment="1" applyProtection="1">
      <alignment horizontal="left" vertical="top" wrapText="1"/>
      <protection locked="0"/>
    </xf>
    <xf numFmtId="165" fontId="22" fillId="36" borderId="22" xfId="4736" applyNumberFormat="1" applyFont="1" applyFill="1" applyBorder="1" applyAlignment="1" applyProtection="1">
      <alignment horizontal="left" vertical="top" wrapText="1"/>
      <protection locked="0"/>
    </xf>
    <xf numFmtId="165" fontId="22" fillId="36" borderId="22" xfId="4738" applyNumberFormat="1" applyFont="1" applyFill="1" applyBorder="1" applyAlignment="1" applyProtection="1">
      <alignment horizontal="left" vertical="top" wrapText="1"/>
      <protection locked="0"/>
    </xf>
    <xf numFmtId="165" fontId="22" fillId="36" borderId="40" xfId="4738" applyNumberFormat="1" applyFont="1" applyFill="1" applyBorder="1" applyAlignment="1" applyProtection="1">
      <alignment horizontal="left" vertical="top" wrapText="1"/>
      <protection locked="0"/>
    </xf>
    <xf numFmtId="165" fontId="22" fillId="36" borderId="48" xfId="4738" applyNumberFormat="1" applyFont="1" applyFill="1" applyBorder="1" applyAlignment="1" applyProtection="1">
      <alignment horizontal="left" vertical="top" wrapText="1"/>
      <protection locked="0"/>
    </xf>
    <xf numFmtId="0" fontId="22" fillId="36" borderId="0" xfId="4740" applyFont="1" applyFill="1" applyProtection="1">
      <protection locked="0"/>
    </xf>
    <xf numFmtId="171" fontId="22" fillId="36" borderId="0" xfId="4768" applyNumberFormat="1" applyFont="1" applyFill="1" applyBorder="1" applyProtection="1">
      <protection locked="0"/>
    </xf>
    <xf numFmtId="171" fontId="22" fillId="36" borderId="0" xfId="4750" applyNumberFormat="1" applyFont="1" applyFill="1" applyBorder="1" applyProtection="1">
      <protection locked="0"/>
    </xf>
    <xf numFmtId="171" fontId="22" fillId="36" borderId="20" xfId="4752" applyNumberFormat="1" applyFont="1" applyFill="1" applyBorder="1" applyProtection="1">
      <protection locked="0"/>
    </xf>
    <xf numFmtId="171" fontId="22" fillId="36" borderId="19" xfId="4752" applyNumberFormat="1" applyFont="1" applyFill="1" applyBorder="1" applyProtection="1">
      <protection locked="0"/>
    </xf>
    <xf numFmtId="171" fontId="22" fillId="36" borderId="70" xfId="4752" applyNumberFormat="1" applyFont="1" applyFill="1" applyBorder="1" applyProtection="1">
      <protection locked="0"/>
    </xf>
    <xf numFmtId="168" fontId="22" fillId="36" borderId="10" xfId="4724" applyNumberFormat="1" applyFont="1" applyFill="1" applyBorder="1" applyProtection="1">
      <protection locked="0"/>
    </xf>
    <xf numFmtId="0" fontId="23" fillId="33" borderId="45" xfId="0" applyFont="1" applyFill="1" applyBorder="1" applyAlignment="1" applyProtection="1">
      <alignment horizontal="left" vertical="top" wrapText="1" indent="2"/>
      <protection locked="0"/>
    </xf>
    <xf numFmtId="49" fontId="22" fillId="24" borderId="36" xfId="0" applyNumberFormat="1" applyFont="1" applyFill="1" applyBorder="1" applyProtection="1">
      <protection locked="0"/>
    </xf>
    <xf numFmtId="168" fontId="22" fillId="36" borderId="20" xfId="4719" applyNumberFormat="1" applyFont="1" applyFill="1" applyBorder="1" applyProtection="1">
      <protection locked="0"/>
    </xf>
    <xf numFmtId="168" fontId="22" fillId="36" borderId="20" xfId="4724" applyNumberFormat="1" applyFont="1" applyFill="1" applyBorder="1" applyProtection="1">
      <protection locked="0"/>
    </xf>
    <xf numFmtId="168" fontId="22" fillId="36" borderId="19" xfId="4168" applyNumberFormat="1" applyFont="1" applyFill="1" applyBorder="1" applyProtection="1">
      <protection locked="0"/>
    </xf>
    <xf numFmtId="168" fontId="22" fillId="36" borderId="20" xfId="4168" applyNumberFormat="1" applyFont="1" applyFill="1" applyBorder="1" applyProtection="1">
      <protection locked="0"/>
    </xf>
    <xf numFmtId="168" fontId="22" fillId="36" borderId="10" xfId="4719" applyNumberFormat="1" applyFont="1" applyFill="1" applyBorder="1" applyProtection="1">
      <protection locked="0"/>
    </xf>
    <xf numFmtId="168" fontId="22" fillId="36" borderId="70" xfId="4719" applyNumberFormat="1" applyFont="1" applyFill="1" applyBorder="1" applyProtection="1">
      <protection locked="0"/>
    </xf>
    <xf numFmtId="168" fontId="22" fillId="36" borderId="70" xfId="4168" applyNumberFormat="1" applyFont="1" applyFill="1" applyBorder="1" applyProtection="1">
      <protection locked="0"/>
    </xf>
    <xf numFmtId="168" fontId="22" fillId="36" borderId="70" xfId="4724" applyNumberFormat="1" applyFont="1" applyFill="1" applyBorder="1" applyProtection="1">
      <protection locked="0"/>
    </xf>
    <xf numFmtId="0" fontId="23" fillId="38" borderId="45" xfId="50" applyFont="1" applyFill="1" applyBorder="1" applyAlignment="1" applyProtection="1">
      <alignment horizontal="left" vertical="top" wrapText="1"/>
      <protection locked="0"/>
    </xf>
    <xf numFmtId="0" fontId="22" fillId="24" borderId="45" xfId="50" applyFont="1" applyFill="1" applyBorder="1" applyAlignment="1" applyProtection="1">
      <alignment horizontal="left" wrapText="1"/>
      <protection locked="0"/>
    </xf>
    <xf numFmtId="0" fontId="22" fillId="24" borderId="45" xfId="50" applyFont="1" applyFill="1" applyBorder="1" applyAlignment="1" applyProtection="1">
      <alignment horizontal="left" vertical="top" wrapText="1"/>
      <protection locked="0"/>
    </xf>
    <xf numFmtId="0" fontId="22" fillId="24" borderId="75" xfId="50" applyFont="1" applyFill="1" applyBorder="1" applyAlignment="1" applyProtection="1">
      <alignment horizontal="left" wrapText="1"/>
      <protection locked="0"/>
    </xf>
    <xf numFmtId="0" fontId="23" fillId="38" borderId="45" xfId="50" applyFont="1" applyFill="1" applyBorder="1" applyAlignment="1" applyProtection="1">
      <alignment horizontal="left" vertical="top" wrapText="1"/>
      <protection locked="0"/>
    </xf>
    <xf numFmtId="0" fontId="23" fillId="31" borderId="45" xfId="50" applyFont="1" applyFill="1" applyBorder="1" applyAlignment="1" applyProtection="1">
      <alignment horizontal="left" vertical="top" wrapText="1"/>
      <protection locked="0"/>
    </xf>
    <xf numFmtId="167" fontId="22" fillId="36" borderId="75" xfId="5170" applyNumberFormat="1" applyFont="1" applyFill="1" applyBorder="1" applyAlignment="1" applyProtection="1">
      <alignment horizontal="center" vertical="top" wrapText="1"/>
      <protection locked="0"/>
    </xf>
    <xf numFmtId="167" fontId="22" fillId="36" borderId="45" xfId="5170" applyNumberFormat="1" applyFont="1" applyFill="1" applyBorder="1" applyAlignment="1" applyProtection="1">
      <alignment horizontal="center" vertical="top" wrapText="1"/>
      <protection locked="0"/>
    </xf>
    <xf numFmtId="0" fontId="22" fillId="24" borderId="45" xfId="50" applyFont="1" applyFill="1" applyBorder="1" applyAlignment="1" applyProtection="1">
      <alignment horizontal="center" vertical="top" wrapText="1"/>
      <protection locked="0"/>
    </xf>
    <xf numFmtId="0" fontId="22" fillId="24" borderId="14" xfId="50" applyFont="1" applyFill="1" applyBorder="1" applyAlignment="1" applyProtection="1">
      <alignment horizontal="left" wrapText="1"/>
      <protection locked="0"/>
    </xf>
    <xf numFmtId="0" fontId="23" fillId="38" borderId="45" xfId="50" applyFont="1" applyFill="1" applyBorder="1" applyAlignment="1" applyProtection="1">
      <alignment horizontal="center" vertical="top" wrapText="1"/>
      <protection locked="0"/>
    </xf>
    <xf numFmtId="167" fontId="22" fillId="38" borderId="14" xfId="5182" applyNumberFormat="1" applyFont="1" applyFill="1" applyBorder="1" applyAlignment="1" applyProtection="1">
      <alignment horizontal="center" vertical="top" wrapText="1"/>
      <protection locked="0"/>
    </xf>
    <xf numFmtId="167" fontId="22" fillId="36" borderId="75" xfId="5182" applyNumberFormat="1" applyFont="1" applyFill="1" applyBorder="1" applyAlignment="1" applyProtection="1">
      <alignment horizontal="center" vertical="top" wrapText="1"/>
      <protection locked="0"/>
    </xf>
    <xf numFmtId="167" fontId="22" fillId="38" borderId="75" xfId="5182" applyNumberFormat="1" applyFont="1" applyFill="1" applyBorder="1" applyAlignment="1" applyProtection="1">
      <alignment horizontal="center" vertical="top" wrapText="1"/>
      <protection locked="0"/>
    </xf>
    <xf numFmtId="1" fontId="22" fillId="36" borderId="75" xfId="5182" applyNumberFormat="1" applyFont="1" applyFill="1" applyBorder="1" applyAlignment="1" applyProtection="1">
      <alignment horizontal="center" vertical="top" wrapText="1"/>
      <protection locked="0"/>
    </xf>
    <xf numFmtId="169" fontId="22" fillId="36" borderId="75" xfId="5182" applyNumberFormat="1" applyFont="1" applyFill="1" applyBorder="1" applyAlignment="1" applyProtection="1">
      <alignment horizontal="center" vertical="top" wrapText="1"/>
      <protection locked="0"/>
    </xf>
    <xf numFmtId="16" fontId="22" fillId="36" borderId="75" xfId="5182" applyNumberFormat="1" applyFont="1" applyFill="1" applyBorder="1" applyAlignment="1" applyProtection="1">
      <alignment horizontal="center" vertical="top" wrapText="1"/>
      <protection locked="0"/>
    </xf>
    <xf numFmtId="0" fontId="82" fillId="36" borderId="71" xfId="5180" applyFont="1" applyFill="1" applyBorder="1" applyAlignment="1">
      <alignment horizontal="center" vertical="top" wrapText="1"/>
    </xf>
    <xf numFmtId="0" fontId="81" fillId="36" borderId="71" xfId="5180" applyFont="1" applyFill="1" applyBorder="1" applyAlignment="1">
      <alignment horizontal="center" vertical="top" wrapText="1"/>
    </xf>
    <xf numFmtId="16" fontId="81" fillId="36" borderId="75" xfId="5180" applyNumberFormat="1" applyFont="1" applyFill="1" applyBorder="1" applyAlignment="1">
      <alignment horizontal="center" vertical="top" wrapText="1"/>
    </xf>
    <xf numFmtId="16" fontId="81" fillId="36" borderId="71" xfId="5180" applyNumberFormat="1" applyFont="1" applyFill="1" applyBorder="1" applyAlignment="1">
      <alignment horizontal="center" vertical="top" wrapText="1"/>
    </xf>
    <xf numFmtId="9" fontId="22" fillId="36" borderId="75" xfId="5182" applyFont="1" applyFill="1" applyBorder="1" applyAlignment="1" applyProtection="1">
      <alignment horizontal="center" vertical="top" wrapText="1"/>
      <protection locked="0"/>
    </xf>
    <xf numFmtId="175" fontId="22" fillId="36" borderId="75" xfId="5183" applyNumberFormat="1" applyFont="1" applyFill="1" applyBorder="1" applyAlignment="1" applyProtection="1">
      <alignment horizontal="center" vertical="top" wrapText="1"/>
      <protection locked="0"/>
    </xf>
    <xf numFmtId="165" fontId="22" fillId="36" borderId="75" xfId="5181" applyNumberFormat="1" applyFont="1" applyFill="1" applyBorder="1" applyAlignment="1" applyProtection="1">
      <alignment horizontal="center" vertical="top" wrapText="1"/>
      <protection locked="0"/>
    </xf>
    <xf numFmtId="177" fontId="22" fillId="36" borderId="75" xfId="5182" applyNumberFormat="1" applyFont="1" applyFill="1" applyBorder="1" applyAlignment="1" applyProtection="1">
      <alignment horizontal="center" vertical="top" wrapText="1"/>
      <protection locked="0"/>
    </xf>
    <xf numFmtId="3" fontId="85" fillId="36" borderId="75" xfId="5180" applyNumberFormat="1" applyFont="1" applyFill="1" applyBorder="1" applyAlignment="1">
      <alignment horizontal="center" vertical="top" wrapText="1"/>
    </xf>
    <xf numFmtId="9" fontId="81" fillId="36" borderId="75" xfId="5180" applyNumberFormat="1" applyFont="1" applyFill="1" applyBorder="1" applyAlignment="1">
      <alignment horizontal="center" vertical="top" wrapText="1"/>
    </xf>
    <xf numFmtId="9" fontId="81" fillId="36" borderId="71" xfId="5180" applyNumberFormat="1" applyFont="1" applyFill="1" applyBorder="1" applyAlignment="1">
      <alignment horizontal="center" vertical="top" wrapText="1"/>
    </xf>
    <xf numFmtId="9" fontId="82" fillId="36" borderId="75" xfId="5180" applyNumberFormat="1" applyFont="1" applyFill="1" applyBorder="1" applyAlignment="1">
      <alignment horizontal="center" vertical="top" wrapText="1"/>
    </xf>
    <xf numFmtId="1" fontId="81" fillId="36" borderId="75" xfId="5180" applyNumberFormat="1" applyFont="1" applyFill="1" applyBorder="1" applyAlignment="1">
      <alignment horizontal="center" vertical="top" wrapText="1"/>
    </xf>
    <xf numFmtId="16" fontId="82" fillId="36" borderId="75" xfId="5180" applyNumberFormat="1" applyFont="1" applyFill="1" applyBorder="1" applyAlignment="1">
      <alignment horizontal="center" vertical="top" wrapText="1"/>
    </xf>
    <xf numFmtId="0" fontId="82" fillId="36" borderId="75" xfId="5180" applyFont="1" applyFill="1" applyBorder="1" applyAlignment="1">
      <alignment horizontal="center" vertical="top" wrapText="1"/>
    </xf>
    <xf numFmtId="9" fontId="82" fillId="36" borderId="75" xfId="5182" applyFont="1" applyFill="1" applyBorder="1" applyAlignment="1">
      <alignment horizontal="center" vertical="top" wrapText="1"/>
    </xf>
    <xf numFmtId="16" fontId="82" fillId="36" borderId="71" xfId="5180" applyNumberFormat="1" applyFont="1" applyFill="1" applyBorder="1" applyAlignment="1">
      <alignment horizontal="center" vertical="top" wrapText="1"/>
    </xf>
    <xf numFmtId="1" fontId="82" fillId="36" borderId="75" xfId="5180" applyNumberFormat="1" applyFont="1" applyFill="1" applyBorder="1" applyAlignment="1">
      <alignment horizontal="center" vertical="top" wrapText="1"/>
    </xf>
    <xf numFmtId="176" fontId="82" fillId="36" borderId="75" xfId="5180" applyNumberFormat="1" applyFont="1" applyFill="1" applyBorder="1" applyAlignment="1">
      <alignment horizontal="center" vertical="top" wrapText="1"/>
    </xf>
    <xf numFmtId="171" fontId="22" fillId="36" borderId="20" xfId="5210" applyNumberFormat="1" applyFont="1" applyFill="1" applyBorder="1" applyProtection="1">
      <protection locked="0"/>
    </xf>
    <xf numFmtId="171" fontId="22" fillId="36" borderId="19" xfId="5210" applyNumberFormat="1" applyFont="1" applyFill="1" applyBorder="1" applyProtection="1">
      <protection locked="0"/>
    </xf>
    <xf numFmtId="171" fontId="22" fillId="36" borderId="70" xfId="5210" applyNumberFormat="1" applyFont="1" applyFill="1" applyBorder="1" applyProtection="1">
      <protection locked="0"/>
    </xf>
    <xf numFmtId="171" fontId="22" fillId="36" borderId="20" xfId="5206" applyNumberFormat="1" applyFont="1" applyFill="1" applyBorder="1" applyProtection="1">
      <protection locked="0"/>
    </xf>
    <xf numFmtId="171" fontId="22" fillId="36" borderId="19" xfId="5206" applyNumberFormat="1" applyFont="1" applyFill="1" applyBorder="1" applyProtection="1">
      <protection locked="0"/>
    </xf>
    <xf numFmtId="171" fontId="22" fillId="36" borderId="70" xfId="5206" applyNumberFormat="1" applyFont="1" applyFill="1" applyBorder="1" applyProtection="1">
      <protection locked="0"/>
    </xf>
    <xf numFmtId="171" fontId="22" fillId="36" borderId="20" xfId="5258" applyNumberFormat="1" applyFont="1" applyFill="1" applyBorder="1" applyProtection="1">
      <protection locked="0"/>
    </xf>
    <xf numFmtId="171" fontId="22" fillId="36" borderId="19" xfId="5258" applyNumberFormat="1" applyFont="1" applyFill="1" applyBorder="1" applyProtection="1">
      <protection locked="0"/>
    </xf>
    <xf numFmtId="171" fontId="22" fillId="36" borderId="70" xfId="5258" applyNumberFormat="1" applyFont="1" applyFill="1" applyBorder="1" applyProtection="1">
      <protection locked="0"/>
    </xf>
    <xf numFmtId="171" fontId="22" fillId="36" borderId="20" xfId="5485" applyNumberFormat="1" applyFont="1" applyFill="1" applyBorder="1" applyProtection="1">
      <protection locked="0"/>
    </xf>
    <xf numFmtId="171" fontId="22" fillId="36" borderId="70" xfId="5485" applyNumberFormat="1" applyFont="1" applyFill="1" applyBorder="1" applyProtection="1">
      <protection locked="0"/>
    </xf>
    <xf numFmtId="171" fontId="22" fillId="36" borderId="19" xfId="5485" applyNumberFormat="1" applyFont="1" applyFill="1" applyBorder="1" applyProtection="1">
      <protection locked="0"/>
    </xf>
    <xf numFmtId="171" fontId="22" fillId="36" borderId="20" xfId="5431" applyNumberFormat="1" applyFont="1" applyFill="1" applyBorder="1" applyProtection="1">
      <protection locked="0"/>
    </xf>
    <xf numFmtId="171" fontId="22" fillId="36" borderId="19" xfId="5431" applyNumberFormat="1" applyFont="1" applyFill="1" applyBorder="1" applyProtection="1">
      <protection locked="0"/>
    </xf>
    <xf numFmtId="171" fontId="22" fillId="36" borderId="70" xfId="5431" applyNumberFormat="1" applyFont="1" applyFill="1" applyBorder="1" applyProtection="1">
      <protection locked="0"/>
    </xf>
    <xf numFmtId="171" fontId="22" fillId="36" borderId="20" xfId="5268" applyNumberFormat="1" applyFont="1" applyFill="1" applyBorder="1" applyProtection="1">
      <protection locked="0"/>
    </xf>
    <xf numFmtId="171" fontId="22" fillId="36" borderId="19" xfId="5268" applyNumberFormat="1" applyFont="1" applyFill="1" applyBorder="1" applyProtection="1">
      <protection locked="0"/>
    </xf>
    <xf numFmtId="171" fontId="22" fillId="36" borderId="70" xfId="5268" applyNumberFormat="1" applyFont="1" applyFill="1" applyBorder="1" applyProtection="1">
      <protection locked="0"/>
    </xf>
    <xf numFmtId="171" fontId="22" fillId="36" borderId="20" xfId="5296" applyNumberFormat="1" applyFont="1" applyFill="1" applyBorder="1" applyProtection="1">
      <protection locked="0"/>
    </xf>
    <xf numFmtId="171" fontId="22" fillId="36" borderId="19" xfId="5296" applyNumberFormat="1" applyFont="1" applyFill="1" applyBorder="1" applyProtection="1">
      <protection locked="0"/>
    </xf>
    <xf numFmtId="171" fontId="22" fillId="36" borderId="70" xfId="5296" applyNumberFormat="1" applyFont="1" applyFill="1" applyBorder="1" applyProtection="1">
      <protection locked="0"/>
    </xf>
    <xf numFmtId="3" fontId="32" fillId="36" borderId="71" xfId="0" quotePrefix="1" applyNumberFormat="1" applyFont="1" applyFill="1" applyBorder="1" applyAlignment="1" applyProtection="1">
      <alignment horizontal="justify" wrapText="1"/>
      <protection locked="0"/>
    </xf>
    <xf numFmtId="171" fontId="22" fillId="36" borderId="14" xfId="5686" applyNumberFormat="1" applyFont="1" applyFill="1" applyBorder="1" applyProtection="1">
      <protection locked="0"/>
    </xf>
    <xf numFmtId="171" fontId="22" fillId="24" borderId="14" xfId="5686" applyNumberFormat="1" applyFont="1" applyFill="1" applyBorder="1" applyProtection="1">
      <protection locked="0"/>
    </xf>
    <xf numFmtId="0" fontId="23" fillId="24" borderId="20" xfId="0" applyNumberFormat="1" applyFont="1" applyFill="1" applyBorder="1" applyAlignment="1" applyProtection="1">
      <alignment horizontal="left"/>
      <protection locked="0"/>
    </xf>
    <xf numFmtId="172" fontId="23" fillId="24" borderId="20" xfId="29" applyNumberFormat="1" applyFont="1" applyFill="1" applyBorder="1" applyAlignment="1" applyProtection="1">
      <alignment horizontal="left"/>
      <protection locked="0"/>
    </xf>
    <xf numFmtId="6" fontId="26" fillId="24" borderId="20" xfId="0" applyNumberFormat="1" applyFont="1" applyFill="1" applyBorder="1" applyAlignment="1" applyProtection="1">
      <alignment horizontal="left"/>
      <protection locked="0"/>
    </xf>
    <xf numFmtId="0" fontId="26" fillId="24" borderId="0" xfId="0" applyNumberFormat="1" applyFont="1" applyFill="1" applyBorder="1" applyAlignment="1" applyProtection="1">
      <alignment horizontal="left"/>
      <protection locked="0"/>
    </xf>
    <xf numFmtId="0" fontId="26" fillId="24" borderId="22" xfId="0" applyNumberFormat="1" applyFont="1" applyFill="1" applyBorder="1" applyAlignment="1" applyProtection="1">
      <alignment horizontal="left"/>
      <protection locked="0"/>
    </xf>
    <xf numFmtId="0" fontId="26" fillId="24" borderId="20" xfId="0" applyNumberFormat="1" applyFont="1" applyFill="1" applyBorder="1" applyAlignment="1" applyProtection="1">
      <alignment horizontal="left"/>
      <protection locked="0"/>
    </xf>
    <xf numFmtId="0" fontId="22" fillId="24" borderId="20" xfId="0" applyNumberFormat="1" applyFont="1" applyFill="1" applyBorder="1" applyAlignment="1" applyProtection="1">
      <alignment horizontal="left"/>
      <protection locked="0"/>
    </xf>
    <xf numFmtId="172" fontId="22" fillId="24" borderId="20" xfId="29" applyNumberFormat="1" applyFont="1" applyFill="1" applyBorder="1" applyAlignment="1" applyProtection="1">
      <alignment horizontal="left"/>
      <protection locked="0"/>
    </xf>
    <xf numFmtId="6" fontId="26" fillId="24" borderId="22" xfId="0" applyNumberFormat="1" applyFont="1" applyFill="1" applyBorder="1" applyAlignment="1" applyProtection="1">
      <alignment horizontal="left"/>
      <protection locked="0"/>
    </xf>
    <xf numFmtId="6" fontId="26" fillId="24" borderId="0" xfId="0" applyNumberFormat="1" applyFont="1" applyFill="1" applyBorder="1" applyAlignment="1" applyProtection="1">
      <alignment horizontal="left"/>
      <protection locked="0"/>
    </xf>
    <xf numFmtId="171" fontId="22" fillId="36" borderId="0" xfId="42173" applyNumberFormat="1" applyFont="1" applyFill="1" applyBorder="1" applyProtection="1">
      <protection locked="0"/>
    </xf>
    <xf numFmtId="171" fontId="22" fillId="24" borderId="19" xfId="42174" applyNumberFormat="1" applyFont="1" applyFill="1" applyBorder="1" applyProtection="1">
      <protection locked="0"/>
    </xf>
    <xf numFmtId="171" fontId="22" fillId="24" borderId="19" xfId="42178" applyNumberFormat="1" applyFont="1" applyFill="1" applyBorder="1" applyProtection="1">
      <protection locked="0"/>
    </xf>
    <xf numFmtId="171" fontId="22" fillId="24" borderId="19" xfId="42179" applyNumberFormat="1" applyFont="1" applyFill="1" applyBorder="1" applyProtection="1">
      <protection locked="0"/>
    </xf>
    <xf numFmtId="0" fontId="20" fillId="34" borderId="80" xfId="0" applyFont="1" applyFill="1" applyBorder="1" applyAlignment="1">
      <alignment horizontal="center"/>
    </xf>
    <xf numFmtId="0" fontId="20" fillId="34" borderId="81" xfId="0" applyFont="1" applyFill="1" applyBorder="1" applyAlignment="1">
      <alignment horizontal="center"/>
    </xf>
    <xf numFmtId="0" fontId="20" fillId="34" borderId="71" xfId="0" applyFont="1" applyFill="1" applyBorder="1" applyAlignment="1">
      <alignment horizontal="center"/>
    </xf>
    <xf numFmtId="0" fontId="20" fillId="35" borderId="80" xfId="0" applyFont="1" applyFill="1" applyBorder="1" applyAlignment="1">
      <alignment horizontal="center"/>
    </xf>
    <xf numFmtId="0" fontId="20" fillId="35" borderId="81" xfId="0" applyFont="1" applyFill="1" applyBorder="1" applyAlignment="1">
      <alignment horizontal="center"/>
    </xf>
    <xf numFmtId="0" fontId="20" fillId="35" borderId="71" xfId="0" applyFont="1" applyFill="1" applyBorder="1" applyAlignment="1">
      <alignment horizontal="center"/>
    </xf>
    <xf numFmtId="0" fontId="19" fillId="29" borderId="80" xfId="0" applyFont="1" applyFill="1" applyBorder="1" applyAlignment="1">
      <alignment horizontal="center"/>
    </xf>
    <xf numFmtId="0" fontId="19" fillId="29" borderId="71" xfId="0" applyFont="1" applyFill="1" applyBorder="1" applyAlignment="1">
      <alignment horizontal="center"/>
    </xf>
    <xf numFmtId="0" fontId="21" fillId="0" borderId="0" xfId="0" applyFont="1" applyBorder="1" applyAlignment="1" applyProtection="1">
      <alignment horizontal="justify" vertical="top" wrapText="1"/>
    </xf>
    <xf numFmtId="0" fontId="26" fillId="0" borderId="0"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Border="1" applyAlignment="1" applyProtection="1">
      <alignment horizontal="justify" vertical="top" wrapText="1"/>
    </xf>
    <xf numFmtId="0" fontId="69" fillId="0" borderId="87" xfId="0" applyFont="1" applyBorder="1" applyAlignment="1" applyProtection="1">
      <alignment horizontal="justify" vertical="center" wrapText="1"/>
    </xf>
    <xf numFmtId="0" fontId="70" fillId="0" borderId="87" xfId="0" applyFont="1" applyBorder="1" applyAlignment="1">
      <alignment horizontal="justify" vertical="center" wrapText="1"/>
    </xf>
    <xf numFmtId="0" fontId="69" fillId="0" borderId="88" xfId="0" applyFont="1" applyBorder="1" applyAlignment="1" applyProtection="1">
      <alignment horizontal="justify" vertical="center"/>
    </xf>
    <xf numFmtId="0" fontId="32" fillId="0" borderId="89" xfId="0" applyFont="1" applyBorder="1" applyAlignment="1">
      <alignment horizontal="justify" vertical="center"/>
    </xf>
    <xf numFmtId="0" fontId="21" fillId="0" borderId="88" xfId="0" applyFont="1" applyBorder="1" applyAlignment="1" applyProtection="1">
      <alignment horizontal="justify" vertical="center" wrapText="1"/>
    </xf>
    <xf numFmtId="0" fontId="32" fillId="0" borderId="89" xfId="0" applyFont="1" applyBorder="1" applyAlignment="1">
      <alignment horizontal="justify" vertical="center" wrapText="1"/>
    </xf>
    <xf numFmtId="0" fontId="21" fillId="0" borderId="90" xfId="0" applyFont="1" applyBorder="1" applyAlignment="1" applyProtection="1">
      <alignment horizontal="justify" wrapText="1"/>
    </xf>
    <xf numFmtId="0" fontId="32" fillId="0" borderId="91" xfId="0" applyFont="1" applyBorder="1" applyAlignment="1">
      <alignment horizontal="justify" wrapText="1"/>
    </xf>
    <xf numFmtId="0" fontId="21" fillId="0" borderId="80" xfId="0" applyFont="1" applyBorder="1" applyAlignment="1" applyProtection="1">
      <alignment horizontal="justify" wrapText="1"/>
    </xf>
    <xf numFmtId="0" fontId="32" fillId="0" borderId="71" xfId="0" applyFont="1" applyBorder="1" applyAlignment="1">
      <alignment horizontal="justify" wrapText="1"/>
    </xf>
    <xf numFmtId="0" fontId="69" fillId="0" borderId="92" xfId="0" applyFont="1" applyBorder="1" applyAlignment="1" applyProtection="1">
      <alignment horizontal="justify" vertical="center" wrapText="1"/>
    </xf>
    <xf numFmtId="0" fontId="70" fillId="0" borderId="93" xfId="0" applyFont="1" applyBorder="1" applyAlignment="1">
      <alignment horizontal="justify" vertical="center" wrapText="1"/>
    </xf>
    <xf numFmtId="0" fontId="21" fillId="0" borderId="92" xfId="0" applyFont="1" applyBorder="1" applyAlignment="1" applyProtection="1">
      <alignment horizontal="justify" vertical="center" wrapText="1"/>
    </xf>
    <xf numFmtId="0" fontId="32" fillId="0" borderId="93" xfId="0" applyFont="1" applyBorder="1" applyAlignment="1">
      <alignment horizontal="justify" vertical="center" wrapText="1"/>
    </xf>
    <xf numFmtId="0" fontId="21" fillId="0" borderId="10" xfId="0" applyFont="1" applyFill="1" applyBorder="1" applyAlignment="1" applyProtection="1">
      <alignment horizontal="justify" wrapText="1"/>
    </xf>
    <xf numFmtId="0" fontId="32" fillId="0" borderId="70" xfId="0" applyFont="1" applyFill="1" applyBorder="1" applyAlignment="1">
      <alignment horizontal="justify" wrapText="1"/>
    </xf>
    <xf numFmtId="0" fontId="21" fillId="0" borderId="28" xfId="0" applyFont="1" applyFill="1" applyBorder="1" applyAlignment="1" applyProtection="1">
      <alignment horizontal="justify" wrapText="1"/>
    </xf>
    <xf numFmtId="0" fontId="32" fillId="0" borderId="79" xfId="0" applyFont="1" applyFill="1" applyBorder="1" applyAlignment="1">
      <alignment horizontal="justify" wrapText="1"/>
    </xf>
    <xf numFmtId="0" fontId="26" fillId="0" borderId="0" xfId="0" applyFont="1" applyBorder="1" applyAlignment="1">
      <alignment horizontal="left" vertical="top" wrapText="1"/>
    </xf>
    <xf numFmtId="0" fontId="23" fillId="0" borderId="94" xfId="0" applyFont="1" applyFill="1" applyBorder="1" applyAlignment="1">
      <alignment horizontal="center" vertical="center" wrapText="1"/>
    </xf>
    <xf numFmtId="0" fontId="23" fillId="0" borderId="95"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60" xfId="0" applyFont="1" applyFill="1" applyBorder="1" applyAlignment="1">
      <alignment horizontal="center" vertical="center"/>
    </xf>
    <xf numFmtId="0" fontId="23" fillId="0" borderId="14" xfId="0" applyFont="1" applyFill="1" applyBorder="1" applyAlignment="1">
      <alignment horizontal="center" vertical="center"/>
    </xf>
    <xf numFmtId="0" fontId="26" fillId="0" borderId="0" xfId="0" applyFont="1" applyFill="1" applyBorder="1" applyAlignment="1">
      <alignment horizontal="left" vertical="top" wrapText="1"/>
    </xf>
    <xf numFmtId="0" fontId="26" fillId="0" borderId="0" xfId="0" applyFont="1" applyFill="1" applyBorder="1" applyAlignment="1" applyProtection="1">
      <alignment horizontal="left" vertical="top" wrapText="1"/>
    </xf>
    <xf numFmtId="0" fontId="29" fillId="0" borderId="0" xfId="0" applyFont="1" applyFill="1" applyBorder="1" applyAlignment="1" applyProtection="1">
      <alignment horizontal="left" vertical="top" wrapText="1"/>
    </xf>
    <xf numFmtId="0" fontId="23" fillId="0" borderId="28" xfId="0" applyFont="1" applyFill="1" applyBorder="1" applyAlignment="1">
      <alignment horizontal="center" vertical="center"/>
    </xf>
    <xf numFmtId="0" fontId="23" fillId="0" borderId="10" xfId="0" applyFont="1" applyFill="1" applyBorder="1" applyAlignment="1">
      <alignment horizontal="center" vertical="center"/>
    </xf>
    <xf numFmtId="0" fontId="26" fillId="0" borderId="0" xfId="0" applyFont="1" applyBorder="1" applyAlignment="1">
      <alignment horizontal="left"/>
    </xf>
    <xf numFmtId="0" fontId="29" fillId="0" borderId="0" xfId="0" applyFont="1" applyBorder="1" applyAlignment="1">
      <alignment horizontal="left"/>
    </xf>
    <xf numFmtId="0" fontId="23" fillId="0" borderId="48" xfId="0" applyFont="1" applyFill="1" applyBorder="1" applyAlignment="1">
      <alignment horizontal="center" vertical="center"/>
    </xf>
    <xf numFmtId="0" fontId="23" fillId="0" borderId="45" xfId="0" applyFont="1" applyFill="1" applyBorder="1" applyAlignment="1">
      <alignment horizontal="center" vertical="center"/>
    </xf>
    <xf numFmtId="0" fontId="0" fillId="0" borderId="0" xfId="0"/>
    <xf numFmtId="0" fontId="22" fillId="0" borderId="0" xfId="0" applyFont="1" applyBorder="1" applyAlignment="1">
      <alignment horizontal="left" vertical="top" wrapText="1"/>
    </xf>
    <xf numFmtId="0" fontId="26" fillId="0" borderId="0" xfId="0" quotePrefix="1" applyFont="1" applyBorder="1" applyAlignment="1">
      <alignment horizontal="left" wrapText="1"/>
    </xf>
    <xf numFmtId="0" fontId="26" fillId="0" borderId="0" xfId="0" quotePrefix="1" applyFont="1" applyBorder="1" applyAlignment="1" applyProtection="1">
      <alignment horizontal="left" wrapText="1"/>
    </xf>
    <xf numFmtId="0" fontId="26" fillId="0" borderId="0" xfId="0" applyFont="1" applyBorder="1" applyAlignment="1" applyProtection="1">
      <alignment horizontal="left" wrapText="1"/>
    </xf>
    <xf numFmtId="0" fontId="59" fillId="0" borderId="28" xfId="0" applyFont="1" applyFill="1" applyBorder="1" applyAlignment="1">
      <alignment horizontal="center" vertical="center"/>
    </xf>
    <xf numFmtId="0" fontId="59" fillId="0" borderId="10" xfId="0" applyFont="1" applyFill="1" applyBorder="1" applyAlignment="1">
      <alignment horizontal="center" vertical="center"/>
    </xf>
    <xf numFmtId="0" fontId="59" fillId="0" borderId="60" xfId="0" applyFont="1" applyFill="1" applyBorder="1" applyAlignment="1">
      <alignment horizontal="center" vertical="center"/>
    </xf>
    <xf numFmtId="0" fontId="59" fillId="0" borderId="14" xfId="0" applyFont="1" applyFill="1" applyBorder="1" applyAlignment="1">
      <alignment horizontal="center" vertical="center"/>
    </xf>
    <xf numFmtId="0" fontId="59" fillId="0" borderId="48" xfId="0" applyFont="1" applyFill="1" applyBorder="1" applyAlignment="1">
      <alignment horizontal="center" vertical="center"/>
    </xf>
    <xf numFmtId="0" fontId="23" fillId="0" borderId="60" xfId="0" applyFont="1" applyFill="1" applyBorder="1" applyAlignment="1" applyProtection="1">
      <alignment horizontal="center" vertical="center"/>
    </xf>
    <xf numFmtId="0" fontId="23" fillId="0" borderId="14" xfId="0" applyFont="1" applyFill="1" applyBorder="1" applyAlignment="1" applyProtection="1">
      <alignment horizontal="center" vertical="center"/>
    </xf>
    <xf numFmtId="0" fontId="23" fillId="0" borderId="94" xfId="0" applyFont="1" applyFill="1" applyBorder="1" applyAlignment="1" applyProtection="1">
      <alignment horizontal="center" vertical="center" wrapText="1"/>
    </xf>
    <xf numFmtId="0" fontId="23" fillId="0" borderId="95" xfId="0" applyFont="1" applyFill="1" applyBorder="1" applyAlignment="1" applyProtection="1">
      <alignment horizontal="center" vertical="center" wrapText="1"/>
    </xf>
    <xf numFmtId="0" fontId="23" fillId="0" borderId="28"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23" xfId="0"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23" fillId="0" borderId="2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47" xfId="0" applyFont="1" applyFill="1" applyBorder="1" applyAlignment="1">
      <alignment horizontal="center" vertical="center" wrapText="1"/>
    </xf>
    <xf numFmtId="0" fontId="23" fillId="0" borderId="33" xfId="0" applyFont="1" applyFill="1" applyBorder="1" applyAlignment="1">
      <alignment horizontal="center" vertical="center" wrapText="1"/>
    </xf>
    <xf numFmtId="0" fontId="23" fillId="0" borderId="30" xfId="0" applyFont="1" applyFill="1" applyBorder="1" applyAlignment="1">
      <alignment horizontal="center" vertical="center"/>
    </xf>
    <xf numFmtId="0" fontId="23" fillId="0" borderId="20" xfId="0" applyFont="1" applyFill="1" applyBorder="1" applyAlignment="1">
      <alignment horizontal="center" vertical="center"/>
    </xf>
    <xf numFmtId="0" fontId="26" fillId="0" borderId="0" xfId="0" quotePrefix="1" applyFont="1" applyBorder="1" applyAlignment="1">
      <alignment horizontal="left" vertical="top" wrapText="1"/>
    </xf>
    <xf numFmtId="0" fontId="23" fillId="0" borderId="37" xfId="0" applyFont="1" applyFill="1" applyBorder="1" applyAlignment="1">
      <alignment horizontal="center" vertical="center"/>
    </xf>
    <xf numFmtId="0" fontId="22" fillId="0" borderId="19" xfId="0" applyFont="1" applyBorder="1" applyAlignment="1">
      <alignment horizontal="left" vertical="center" wrapText="1"/>
    </xf>
    <xf numFmtId="0" fontId="23" fillId="0" borderId="60"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0" borderId="96"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0" xfId="0" applyNumberFormat="1"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1" fillId="0" borderId="11" xfId="0" applyFont="1" applyFill="1" applyBorder="1" applyAlignment="1">
      <alignment horizontal="left"/>
    </xf>
  </cellXfs>
  <cellStyles count="42180">
    <cellStyle name="20% - Accent1" xfId="1" builtinId="30" customBuiltin="1"/>
    <cellStyle name="20% - Accent1 10" xfId="787"/>
    <cellStyle name="20% - Accent1 11" xfId="821"/>
    <cellStyle name="20% - Accent1 12" xfId="855"/>
    <cellStyle name="20% - Accent1 13" xfId="888"/>
    <cellStyle name="20% - Accent1 14" xfId="919"/>
    <cellStyle name="20% - Accent1 15" xfId="942"/>
    <cellStyle name="20% - Accent1 16" xfId="982"/>
    <cellStyle name="20% - Accent1 17" xfId="1174"/>
    <cellStyle name="20% - Accent1 18" xfId="1073"/>
    <cellStyle name="20% - Accent1 19" xfId="1103"/>
    <cellStyle name="20% - Accent1 2" xfId="71"/>
    <cellStyle name="20% - Accent1 2 2" xfId="5710"/>
    <cellStyle name="20% - Accent1 20" xfId="1171"/>
    <cellStyle name="20% - Accent1 21" xfId="1155"/>
    <cellStyle name="20% - Accent1 22" xfId="1191"/>
    <cellStyle name="20% - Accent1 23" xfId="1494"/>
    <cellStyle name="20% - Accent1 23 2" xfId="2687"/>
    <cellStyle name="20% - Accent1 23 3" xfId="3035"/>
    <cellStyle name="20% - Accent1 23 4" xfId="1730"/>
    <cellStyle name="20% - Accent1 23 5" xfId="3332"/>
    <cellStyle name="20% - Accent1 23 6" xfId="3409"/>
    <cellStyle name="20% - Accent1 23 7" xfId="3351"/>
    <cellStyle name="20% - Accent1 23 8" xfId="3697"/>
    <cellStyle name="20% - Accent1 24" xfId="1406"/>
    <cellStyle name="20% - Accent1 24 2" xfId="2601"/>
    <cellStyle name="20% - Accent1 24 3" xfId="2950"/>
    <cellStyle name="20% - Accent1 24 4" xfId="2143"/>
    <cellStyle name="20% - Accent1 24 5" xfId="3333"/>
    <cellStyle name="20% - Accent1 24 6" xfId="1816"/>
    <cellStyle name="20% - Accent1 24 7" xfId="1844"/>
    <cellStyle name="20% - Accent1 24 8" xfId="1826"/>
    <cellStyle name="20% - Accent1 25" xfId="1372"/>
    <cellStyle name="20% - Accent1 25 2" xfId="2568"/>
    <cellStyle name="20% - Accent1 25 3" xfId="2918"/>
    <cellStyle name="20% - Accent1 25 4" xfId="2235"/>
    <cellStyle name="20% - Accent1 25 5" xfId="3450"/>
    <cellStyle name="20% - Accent1 25 6" xfId="2375"/>
    <cellStyle name="20% - Accent1 25 7" xfId="2181"/>
    <cellStyle name="20% - Accent1 25 8" xfId="1913"/>
    <cellStyle name="20% - Accent1 26" xfId="1572"/>
    <cellStyle name="20% - Accent1 26 2" xfId="2760"/>
    <cellStyle name="20% - Accent1 26 3" xfId="3109"/>
    <cellStyle name="20% - Accent1 26 4" xfId="3372"/>
    <cellStyle name="20% - Accent1 26 5" xfId="3387"/>
    <cellStyle name="20% - Accent1 26 6" xfId="1930"/>
    <cellStyle name="20% - Accent1 26 7" xfId="3675"/>
    <cellStyle name="20% - Accent1 26 8" xfId="3866"/>
    <cellStyle name="20% - Accent1 27" xfId="1403"/>
    <cellStyle name="20% - Accent1 27 2" xfId="2598"/>
    <cellStyle name="20% - Accent1 27 3" xfId="2947"/>
    <cellStyle name="20% - Accent1 27 4" xfId="2114"/>
    <cellStyle name="20% - Accent1 27 5" xfId="3370"/>
    <cellStyle name="20% - Accent1 27 6" xfId="3483"/>
    <cellStyle name="20% - Accent1 27 7" xfId="3622"/>
    <cellStyle name="20% - Accent1 27 8" xfId="3817"/>
    <cellStyle name="20% - Accent1 28" xfId="1459"/>
    <cellStyle name="20% - Accent1 28 2" xfId="2653"/>
    <cellStyle name="20% - Accent1 28 3" xfId="3001"/>
    <cellStyle name="20% - Accent1 28 4" xfId="2113"/>
    <cellStyle name="20% - Accent1 28 5" xfId="3380"/>
    <cellStyle name="20% - Accent1 28 6" xfId="2427"/>
    <cellStyle name="20% - Accent1 28 7" xfId="1732"/>
    <cellStyle name="20% - Accent1 28 8" xfId="3273"/>
    <cellStyle name="20% - Accent1 29" xfId="1508"/>
    <cellStyle name="20% - Accent1 29 2" xfId="2701"/>
    <cellStyle name="20% - Accent1 29 3" xfId="3049"/>
    <cellStyle name="20% - Accent1 29 4" xfId="3279"/>
    <cellStyle name="20% - Accent1 29 5" xfId="2072"/>
    <cellStyle name="20% - Accent1 29 6" xfId="1986"/>
    <cellStyle name="20% - Accent1 29 7" xfId="1924"/>
    <cellStyle name="20% - Accent1 29 8" xfId="3621"/>
    <cellStyle name="20% - Accent1 3" xfId="200"/>
    <cellStyle name="20% - Accent1 30" xfId="1596"/>
    <cellStyle name="20% - Accent1 30 2" xfId="2774"/>
    <cellStyle name="20% - Accent1 30 3" xfId="3128"/>
    <cellStyle name="20% - Accent1 30 4" xfId="3445"/>
    <cellStyle name="20% - Accent1 30 5" xfId="2054"/>
    <cellStyle name="20% - Accent1 30 6" xfId="1815"/>
    <cellStyle name="20% - Accent1 30 7" xfId="3497"/>
    <cellStyle name="20% - Accent1 30 8" xfId="3639"/>
    <cellStyle name="20% - Accent1 4" xfId="430"/>
    <cellStyle name="20% - Accent1 5" xfId="649"/>
    <cellStyle name="20% - Accent1 6" xfId="588"/>
    <cellStyle name="20% - Accent1 7" xfId="669"/>
    <cellStyle name="20% - Accent1 8" xfId="709"/>
    <cellStyle name="20% - Accent1 9" xfId="749"/>
    <cellStyle name="20% - Accent2" xfId="2" builtinId="34" customBuiltin="1"/>
    <cellStyle name="20% - Accent2 10" xfId="499"/>
    <cellStyle name="20% - Accent2 11" xfId="531"/>
    <cellStyle name="20% - Accent2 12" xfId="660"/>
    <cellStyle name="20% - Accent2 13" xfId="700"/>
    <cellStyle name="20% - Accent2 14" xfId="740"/>
    <cellStyle name="20% - Accent2 15" xfId="779"/>
    <cellStyle name="20% - Accent2 16" xfId="983"/>
    <cellStyle name="20% - Accent2 17" xfId="1172"/>
    <cellStyle name="20% - Accent2 18" xfId="1152"/>
    <cellStyle name="20% - Accent2 19" xfId="1193"/>
    <cellStyle name="20% - Accent2 2" xfId="72"/>
    <cellStyle name="20% - Accent2 2 2" xfId="5711"/>
    <cellStyle name="20% - Accent2 20" xfId="1224"/>
    <cellStyle name="20% - Accent2 21" xfId="1251"/>
    <cellStyle name="20% - Accent2 22" xfId="1275"/>
    <cellStyle name="20% - Accent2 23" xfId="1466"/>
    <cellStyle name="20% - Accent2 23 2" xfId="2660"/>
    <cellStyle name="20% - Accent2 23 3" xfId="3008"/>
    <cellStyle name="20% - Accent2 23 4" xfId="2177"/>
    <cellStyle name="20% - Accent2 23 5" xfId="3232"/>
    <cellStyle name="20% - Accent2 23 6" xfId="3515"/>
    <cellStyle name="20% - Accent2 23 7" xfId="3404"/>
    <cellStyle name="20% - Accent2 23 8" xfId="2416"/>
    <cellStyle name="20% - Accent2 24" xfId="1407"/>
    <cellStyle name="20% - Accent2 24 2" xfId="2602"/>
    <cellStyle name="20% - Accent2 24 3" xfId="2951"/>
    <cellStyle name="20% - Accent2 24 4" xfId="2157"/>
    <cellStyle name="20% - Accent2 24 5" xfId="2125"/>
    <cellStyle name="20% - Accent2 24 6" xfId="1836"/>
    <cellStyle name="20% - Accent2 24 7" xfId="1873"/>
    <cellStyle name="20% - Accent2 24 8" xfId="2343"/>
    <cellStyle name="20% - Accent2 25" xfId="1297"/>
    <cellStyle name="20% - Accent2 25 2" xfId="2503"/>
    <cellStyle name="20% - Accent2 25 3" xfId="1915"/>
    <cellStyle name="20% - Accent2 25 4" xfId="2074"/>
    <cellStyle name="20% - Accent2 25 5" xfId="3559"/>
    <cellStyle name="20% - Accent2 25 6" xfId="3763"/>
    <cellStyle name="20% - Accent2 25 7" xfId="3939"/>
    <cellStyle name="20% - Accent2 25 8" xfId="4082"/>
    <cellStyle name="20% - Accent2 26" xfId="1448"/>
    <cellStyle name="20% - Accent2 26 2" xfId="2643"/>
    <cellStyle name="20% - Accent2 26 3" xfId="2990"/>
    <cellStyle name="20% - Accent2 26 4" xfId="2176"/>
    <cellStyle name="20% - Accent2 26 5" xfId="1921"/>
    <cellStyle name="20% - Accent2 26 6" xfId="1866"/>
    <cellStyle name="20% - Accent2 26 7" xfId="2091"/>
    <cellStyle name="20% - Accent2 26 8" xfId="2003"/>
    <cellStyle name="20% - Accent2 27" xfId="1598"/>
    <cellStyle name="20% - Accent2 27 2" xfId="2776"/>
    <cellStyle name="20% - Accent2 27 3" xfId="3130"/>
    <cellStyle name="20% - Accent2 27 4" xfId="3282"/>
    <cellStyle name="20% - Accent2 27 5" xfId="1850"/>
    <cellStyle name="20% - Accent2 27 6" xfId="1764"/>
    <cellStyle name="20% - Accent2 27 7" xfId="3469"/>
    <cellStyle name="20% - Accent2 27 8" xfId="3459"/>
    <cellStyle name="20% - Accent2 28" xfId="1630"/>
    <cellStyle name="20% - Accent2 28 2" xfId="2805"/>
    <cellStyle name="20% - Accent2 28 3" xfId="3159"/>
    <cellStyle name="20% - Accent2 28 4" xfId="3285"/>
    <cellStyle name="20% - Accent2 28 5" xfId="2112"/>
    <cellStyle name="20% - Accent2 28 6" xfId="3647"/>
    <cellStyle name="20% - Accent2 28 7" xfId="3840"/>
    <cellStyle name="20% - Accent2 28 8" xfId="4001"/>
    <cellStyle name="20% - Accent2 29" xfId="1660"/>
    <cellStyle name="20% - Accent2 29 2" xfId="2832"/>
    <cellStyle name="20% - Accent2 29 3" xfId="3186"/>
    <cellStyle name="20% - Accent2 29 4" xfId="3262"/>
    <cellStyle name="20% - Accent2 29 5" xfId="3309"/>
    <cellStyle name="20% - Accent2 29 6" xfId="3345"/>
    <cellStyle name="20% - Accent2 29 7" xfId="1954"/>
    <cellStyle name="20% - Accent2 29 8" xfId="2273"/>
    <cellStyle name="20% - Accent2 3" xfId="199"/>
    <cellStyle name="20% - Accent2 30" xfId="1688"/>
    <cellStyle name="20% - Accent2 30 2" xfId="2855"/>
    <cellStyle name="20% - Accent2 30 3" xfId="3209"/>
    <cellStyle name="20% - Accent2 30 4" xfId="2573"/>
    <cellStyle name="20% - Accent2 30 5" xfId="1794"/>
    <cellStyle name="20% - Accent2 30 6" xfId="3584"/>
    <cellStyle name="20% - Accent2 30 7" xfId="3784"/>
    <cellStyle name="20% - Accent2 30 8" xfId="3955"/>
    <cellStyle name="20% - Accent2 4" xfId="431"/>
    <cellStyle name="20% - Accent2 5" xfId="647"/>
    <cellStyle name="20% - Accent2 6" xfId="590"/>
    <cellStyle name="20% - Accent2 7" xfId="513"/>
    <cellStyle name="20% - Accent2 8" xfId="507"/>
    <cellStyle name="20% - Accent2 9" xfId="517"/>
    <cellStyle name="20% - Accent3" xfId="3" builtinId="38" customBuiltin="1"/>
    <cellStyle name="20% - Accent3 10" xfId="769"/>
    <cellStyle name="20% - Accent3 11" xfId="805"/>
    <cellStyle name="20% - Accent3 12" xfId="839"/>
    <cellStyle name="20% - Accent3 13" xfId="872"/>
    <cellStyle name="20% - Accent3 14" xfId="906"/>
    <cellStyle name="20% - Accent3 15" xfId="934"/>
    <cellStyle name="20% - Accent3 16" xfId="984"/>
    <cellStyle name="20% - Accent3 17" xfId="1170"/>
    <cellStyle name="20% - Accent3 18" xfId="1037"/>
    <cellStyle name="20% - Accent3 19" xfId="1082"/>
    <cellStyle name="20% - Accent3 2" xfId="73"/>
    <cellStyle name="20% - Accent3 2 2" xfId="5712"/>
    <cellStyle name="20% - Accent3 20" xfId="1202"/>
    <cellStyle name="20% - Accent3 21" xfId="1233"/>
    <cellStyle name="20% - Accent3 22" xfId="1260"/>
    <cellStyle name="20% - Accent3 23" xfId="1482"/>
    <cellStyle name="20% - Accent3 23 2" xfId="2675"/>
    <cellStyle name="20% - Accent3 23 3" xfId="3023"/>
    <cellStyle name="20% - Accent3 23 4" xfId="3314"/>
    <cellStyle name="20% - Accent3 23 5" xfId="2002"/>
    <cellStyle name="20% - Accent3 23 6" xfId="3399"/>
    <cellStyle name="20% - Accent3 23 7" xfId="1799"/>
    <cellStyle name="20% - Accent3 23 8" xfId="3579"/>
    <cellStyle name="20% - Accent3 24" xfId="1453"/>
    <cellStyle name="20% - Accent3 24 2" xfId="2648"/>
    <cellStyle name="20% - Accent3 24 3" xfId="2995"/>
    <cellStyle name="20% - Accent3 24 4" xfId="3313"/>
    <cellStyle name="20% - Accent3 24 5" xfId="1935"/>
    <cellStyle name="20% - Accent3 24 6" xfId="1932"/>
    <cellStyle name="20% - Accent3 24 7" xfId="1883"/>
    <cellStyle name="20% - Accent3 24 8" xfId="3284"/>
    <cellStyle name="20% - Accent3 25" xfId="1507"/>
    <cellStyle name="20% - Accent3 25 2" xfId="2700"/>
    <cellStyle name="20% - Accent3 25 3" xfId="3048"/>
    <cellStyle name="20% - Accent3 25 4" xfId="3302"/>
    <cellStyle name="20% - Accent3 25 5" xfId="2335"/>
    <cellStyle name="20% - Accent3 25 6" xfId="1728"/>
    <cellStyle name="20% - Accent3 25 7" xfId="1885"/>
    <cellStyle name="20% - Accent3 25 8" xfId="2357"/>
    <cellStyle name="20% - Accent3 26" xfId="1360"/>
    <cellStyle name="20% - Accent3 26 2" xfId="2558"/>
    <cellStyle name="20% - Accent3 26 3" xfId="2908"/>
    <cellStyle name="20% - Accent3 26 4" xfId="3343"/>
    <cellStyle name="20% - Accent3 26 5" xfId="3444"/>
    <cellStyle name="20% - Accent3 26 6" xfId="2099"/>
    <cellStyle name="20% - Accent3 26 7" xfId="2438"/>
    <cellStyle name="20% - Accent3 26 8" xfId="3612"/>
    <cellStyle name="20% - Accent3 27" xfId="1422"/>
    <cellStyle name="20% - Accent3 27 2" xfId="2617"/>
    <cellStyle name="20% - Accent3 27 3" xfId="2965"/>
    <cellStyle name="20% - Accent3 27 4" xfId="3344"/>
    <cellStyle name="20% - Accent3 27 5" xfId="2111"/>
    <cellStyle name="20% - Accent3 27 6" xfId="3541"/>
    <cellStyle name="20% - Accent3 27 7" xfId="3747"/>
    <cellStyle name="20% - Accent3 27 8" xfId="3927"/>
    <cellStyle name="20% - Accent3 28" xfId="1607"/>
    <cellStyle name="20% - Accent3 28 2" xfId="2785"/>
    <cellStyle name="20% - Accent3 28 3" xfId="3139"/>
    <cellStyle name="20% - Accent3 28 4" xfId="2245"/>
    <cellStyle name="20% - Accent3 28 5" xfId="3116"/>
    <cellStyle name="20% - Accent3 28 6" xfId="1895"/>
    <cellStyle name="20% - Accent3 28 7" xfId="1912"/>
    <cellStyle name="20% - Accent3 28 8" xfId="2393"/>
    <cellStyle name="20% - Accent3 29" xfId="1640"/>
    <cellStyle name="20% - Accent3 29 2" xfId="2814"/>
    <cellStyle name="20% - Accent3 29 3" xfId="3168"/>
    <cellStyle name="20% - Accent3 29 4" xfId="2040"/>
    <cellStyle name="20% - Accent3 29 5" xfId="2173"/>
    <cellStyle name="20% - Accent3 29 6" xfId="3425"/>
    <cellStyle name="20% - Accent3 29 7" xfId="2156"/>
    <cellStyle name="20% - Accent3 29 8" xfId="2076"/>
    <cellStyle name="20% - Accent3 3" xfId="175"/>
    <cellStyle name="20% - Accent3 30" xfId="1669"/>
    <cellStyle name="20% - Accent3 30 2" xfId="2841"/>
    <cellStyle name="20% - Accent3 30 3" xfId="3195"/>
    <cellStyle name="20% - Accent3 30 4" xfId="1750"/>
    <cellStyle name="20% - Accent3 30 5" xfId="1847"/>
    <cellStyle name="20% - Accent3 30 6" xfId="3550"/>
    <cellStyle name="20% - Accent3 30 7" xfId="3755"/>
    <cellStyle name="20% - Accent3 30 8" xfId="3932"/>
    <cellStyle name="20% - Accent3 4" xfId="432"/>
    <cellStyle name="20% - Accent3 5" xfId="644"/>
    <cellStyle name="20% - Accent3 6" xfId="628"/>
    <cellStyle name="20% - Accent3 7" xfId="550"/>
    <cellStyle name="20% - Accent3 8" xfId="690"/>
    <cellStyle name="20% - Accent3 9" xfId="730"/>
    <cellStyle name="20% - Accent4" xfId="4" builtinId="42" customBuiltin="1"/>
    <cellStyle name="20% - Accent4 10" xfId="765"/>
    <cellStyle name="20% - Accent4 11" xfId="801"/>
    <cellStyle name="20% - Accent4 12" xfId="835"/>
    <cellStyle name="20% - Accent4 13" xfId="868"/>
    <cellStyle name="20% - Accent4 14" xfId="902"/>
    <cellStyle name="20% - Accent4 15" xfId="931"/>
    <cellStyle name="20% - Accent4 16" xfId="985"/>
    <cellStyle name="20% - Accent4 17" xfId="1169"/>
    <cellStyle name="20% - Accent4 18" xfId="1039"/>
    <cellStyle name="20% - Accent4 19" xfId="1034"/>
    <cellStyle name="20% - Accent4 2" xfId="74"/>
    <cellStyle name="20% - Accent4 2 2" xfId="5713"/>
    <cellStyle name="20% - Accent4 20" xfId="1090"/>
    <cellStyle name="20% - Accent4 21" xfId="1209"/>
    <cellStyle name="20% - Accent4 22" xfId="1240"/>
    <cellStyle name="20% - Accent4 23" xfId="1473"/>
    <cellStyle name="20% - Accent4 23 2" xfId="2667"/>
    <cellStyle name="20% - Accent4 23 3" xfId="3015"/>
    <cellStyle name="20% - Accent4 23 4" xfId="1531"/>
    <cellStyle name="20% - Accent4 23 5" xfId="3593"/>
    <cellStyle name="20% - Accent4 23 6" xfId="3793"/>
    <cellStyle name="20% - Accent4 23 7" xfId="3962"/>
    <cellStyle name="20% - Accent4 23 8" xfId="4097"/>
    <cellStyle name="20% - Accent4 24" xfId="1471"/>
    <cellStyle name="20% - Accent4 24 2" xfId="2665"/>
    <cellStyle name="20% - Accent4 24 3" xfId="3013"/>
    <cellStyle name="20% - Accent4 24 4" xfId="2199"/>
    <cellStyle name="20% - Accent4 24 5" xfId="3707"/>
    <cellStyle name="20% - Accent4 24 6" xfId="3893"/>
    <cellStyle name="20% - Accent4 24 7" xfId="4047"/>
    <cellStyle name="20% - Accent4 24 8" xfId="4154"/>
    <cellStyle name="20% - Accent4 25" xfId="1414"/>
    <cellStyle name="20% - Accent4 25 2" xfId="2609"/>
    <cellStyle name="20% - Accent4 25 3" xfId="2957"/>
    <cellStyle name="20% - Accent4 25 4" xfId="2219"/>
    <cellStyle name="20% - Accent4 25 5" xfId="3696"/>
    <cellStyle name="20% - Accent4 25 6" xfId="3886"/>
    <cellStyle name="20% - Accent4 25 7" xfId="4041"/>
    <cellStyle name="20% - Accent4 25 8" xfId="4150"/>
    <cellStyle name="20% - Accent4 26" xfId="1518"/>
    <cellStyle name="20% - Accent4 26 2" xfId="2710"/>
    <cellStyle name="20% - Accent4 26 3" xfId="3058"/>
    <cellStyle name="20% - Accent4 26 4" xfId="2329"/>
    <cellStyle name="20% - Accent4 26 5" xfId="2432"/>
    <cellStyle name="20% - Accent4 26 6" xfId="1950"/>
    <cellStyle name="20% - Accent4 26 7" xfId="3325"/>
    <cellStyle name="20% - Accent4 26 8" xfId="2061"/>
    <cellStyle name="20% - Accent4 27" xfId="1353"/>
    <cellStyle name="20% - Accent4 27 2" xfId="2551"/>
    <cellStyle name="20% - Accent4 27 3" xfId="2901"/>
    <cellStyle name="20% - Accent4 27 4" xfId="1768"/>
    <cellStyle name="20% - Accent4 27 5" xfId="3693"/>
    <cellStyle name="20% - Accent4 27 6" xfId="3883"/>
    <cellStyle name="20% - Accent4 27 7" xfId="4038"/>
    <cellStyle name="20% - Accent4 27 8" xfId="4148"/>
    <cellStyle name="20% - Accent4 28" xfId="1416"/>
    <cellStyle name="20% - Accent4 28 2" xfId="2611"/>
    <cellStyle name="20% - Accent4 28 3" xfId="2959"/>
    <cellStyle name="20% - Accent4 28 4" xfId="2434"/>
    <cellStyle name="20% - Accent4 28 5" xfId="3608"/>
    <cellStyle name="20% - Accent4 28 6" xfId="3807"/>
    <cellStyle name="20% - Accent4 28 7" xfId="3973"/>
    <cellStyle name="20% - Accent4 28 8" xfId="4103"/>
    <cellStyle name="20% - Accent4 29" xfId="1615"/>
    <cellStyle name="20% - Accent4 29 2" xfId="2792"/>
    <cellStyle name="20% - Accent4 29 3" xfId="3146"/>
    <cellStyle name="20% - Accent4 29 4" xfId="1929"/>
    <cellStyle name="20% - Accent4 29 5" xfId="3111"/>
    <cellStyle name="20% - Accent4 29 6" xfId="3522"/>
    <cellStyle name="20% - Accent4 29 7" xfId="3574"/>
    <cellStyle name="20% - Accent4 29 8" xfId="3776"/>
    <cellStyle name="20% - Accent4 3" xfId="198"/>
    <cellStyle name="20% - Accent4 30" xfId="1648"/>
    <cellStyle name="20% - Accent4 30 2" xfId="2821"/>
    <cellStyle name="20% - Accent4 30 3" xfId="3175"/>
    <cellStyle name="20% - Accent4 30 4" xfId="1741"/>
    <cellStyle name="20% - Accent4 30 5" xfId="3618"/>
    <cellStyle name="20% - Accent4 30 6" xfId="3815"/>
    <cellStyle name="20% - Accent4 30 7" xfId="3980"/>
    <cellStyle name="20% - Accent4 30 8" xfId="4107"/>
    <cellStyle name="20% - Accent4 4" xfId="433"/>
    <cellStyle name="20% - Accent4 5" xfId="643"/>
    <cellStyle name="20% - Accent4 6" xfId="488"/>
    <cellStyle name="20% - Accent4 7" xfId="546"/>
    <cellStyle name="20% - Accent4 8" xfId="686"/>
    <cellStyle name="20% - Accent4 9" xfId="726"/>
    <cellStyle name="20% - Accent5" xfId="5" builtinId="46" customBuiltin="1"/>
    <cellStyle name="20% - Accent5 10" xfId="736"/>
    <cellStyle name="20% - Accent5 11" xfId="775"/>
    <cellStyle name="20% - Accent5 12" xfId="810"/>
    <cellStyle name="20% - Accent5 13" xfId="844"/>
    <cellStyle name="20% - Accent5 14" xfId="876"/>
    <cellStyle name="20% - Accent5 15" xfId="911"/>
    <cellStyle name="20% - Accent5 16" xfId="986"/>
    <cellStyle name="20% - Accent5 17" xfId="1168"/>
    <cellStyle name="20% - Accent5 18" xfId="1041"/>
    <cellStyle name="20% - Accent5 19" xfId="1133"/>
    <cellStyle name="20% - Accent5 2" xfId="75"/>
    <cellStyle name="20% - Accent5 2 2" xfId="5714"/>
    <cellStyle name="20% - Accent5 20" xfId="1025"/>
    <cellStyle name="20% - Accent5 21" xfId="1107"/>
    <cellStyle name="20% - Accent5 22" xfId="1132"/>
    <cellStyle name="20% - Accent5 23" xfId="1456"/>
    <cellStyle name="20% - Accent5 23 2" xfId="2651"/>
    <cellStyle name="20% - Accent5 23 3" xfId="2998"/>
    <cellStyle name="20% - Accent5 23 4" xfId="1722"/>
    <cellStyle name="20% - Accent5 23 5" xfId="2200"/>
    <cellStyle name="20% - Accent5 23 6" xfId="3260"/>
    <cellStyle name="20% - Accent5 23 7" xfId="1919"/>
    <cellStyle name="20% - Accent5 23 8" xfId="3479"/>
    <cellStyle name="20% - Accent5 24" xfId="1487"/>
    <cellStyle name="20% - Accent5 24 2" xfId="2680"/>
    <cellStyle name="20% - Accent5 24 3" xfId="3028"/>
    <cellStyle name="20% - Accent5 24 4" xfId="1975"/>
    <cellStyle name="20% - Accent5 24 5" xfId="1889"/>
    <cellStyle name="20% - Accent5 24 6" xfId="3659"/>
    <cellStyle name="20% - Accent5 24 7" xfId="3852"/>
    <cellStyle name="20% - Accent5 24 8" xfId="4012"/>
    <cellStyle name="20% - Accent5 25" xfId="1412"/>
    <cellStyle name="20% - Accent5 25 2" xfId="2607"/>
    <cellStyle name="20% - Accent5 25 3" xfId="2955"/>
    <cellStyle name="20% - Accent5 25 4" xfId="2234"/>
    <cellStyle name="20% - Accent5 25 5" xfId="3721"/>
    <cellStyle name="20% - Accent5 25 6" xfId="3906"/>
    <cellStyle name="20% - Accent5 25 7" xfId="4058"/>
    <cellStyle name="20% - Accent5 25 8" xfId="4162"/>
    <cellStyle name="20% - Accent5 26" xfId="1336"/>
    <cellStyle name="20% - Accent5 26 2" xfId="2537"/>
    <cellStyle name="20% - Accent5 26 3" xfId="2885"/>
    <cellStyle name="20% - Accent5 26 4" xfId="3414"/>
    <cellStyle name="20% - Accent5 26 5" xfId="2385"/>
    <cellStyle name="20% - Accent5 26 6" xfId="1817"/>
    <cellStyle name="20% - Accent5 26 7" xfId="2024"/>
    <cellStyle name="20% - Accent5 26 8" xfId="2172"/>
    <cellStyle name="20% - Accent5 27" xfId="1334"/>
    <cellStyle name="20% - Accent5 27 2" xfId="2535"/>
    <cellStyle name="20% - Accent5 27 3" xfId="2883"/>
    <cellStyle name="20% - Accent5 27 4" xfId="3356"/>
    <cellStyle name="20% - Accent5 27 5" xfId="2413"/>
    <cellStyle name="20% - Accent5 27 6" xfId="3599"/>
    <cellStyle name="20% - Accent5 27 7" xfId="3799"/>
    <cellStyle name="20% - Accent5 27 8" xfId="3968"/>
    <cellStyle name="20% - Accent5 28" xfId="1542"/>
    <cellStyle name="20% - Accent5 28 2" xfId="2731"/>
    <cellStyle name="20% - Accent5 28 3" xfId="3080"/>
    <cellStyle name="20% - Accent5 28 4" xfId="3384"/>
    <cellStyle name="20% - Accent5 28 5" xfId="2378"/>
    <cellStyle name="20% - Accent5 28 6" xfId="1843"/>
    <cellStyle name="20% - Accent5 28 7" xfId="3699"/>
    <cellStyle name="20% - Accent5 28 8" xfId="3888"/>
    <cellStyle name="20% - Accent5 29" xfId="1475"/>
    <cellStyle name="20% - Accent5 29 2" xfId="2669"/>
    <cellStyle name="20% - Accent5 29 3" xfId="3017"/>
    <cellStyle name="20% - Accent5 29 4" xfId="1894"/>
    <cellStyle name="20% - Accent5 29 5" xfId="3577"/>
    <cellStyle name="20% - Accent5 29 6" xfId="3779"/>
    <cellStyle name="20% - Accent5 29 7" xfId="3952"/>
    <cellStyle name="20% - Accent5 29 8" xfId="4093"/>
    <cellStyle name="20% - Accent5 3" xfId="197"/>
    <cellStyle name="20% - Accent5 30" xfId="1361"/>
    <cellStyle name="20% - Accent5 30 2" xfId="2559"/>
    <cellStyle name="20% - Accent5 30 3" xfId="2909"/>
    <cellStyle name="20% - Accent5 30 4" xfId="3272"/>
    <cellStyle name="20% - Accent5 30 5" xfId="2196"/>
    <cellStyle name="20% - Accent5 30 6" xfId="3660"/>
    <cellStyle name="20% - Accent5 30 7" xfId="3853"/>
    <cellStyle name="20% - Accent5 30 8" xfId="4013"/>
    <cellStyle name="20% - Accent5 4" xfId="434"/>
    <cellStyle name="20% - Accent5 5" xfId="642"/>
    <cellStyle name="20% - Accent5 6" xfId="490"/>
    <cellStyle name="20% - Accent5 7" xfId="485"/>
    <cellStyle name="20% - Accent5 8" xfId="555"/>
    <cellStyle name="20% - Accent5 9" xfId="696"/>
    <cellStyle name="20% - Accent6" xfId="6" builtinId="50" customBuiltin="1"/>
    <cellStyle name="20% - Accent6 10" xfId="602"/>
    <cellStyle name="20% - Accent6 11" xfId="545"/>
    <cellStyle name="20% - Accent6 12" xfId="477"/>
    <cellStyle name="20% - Accent6 13" xfId="568"/>
    <cellStyle name="20% - Accent6 14" xfId="671"/>
    <cellStyle name="20% - Accent6 15" xfId="711"/>
    <cellStyle name="20% - Accent6 16" xfId="987"/>
    <cellStyle name="20% - Accent6 17" xfId="1167"/>
    <cellStyle name="20% - Accent6 18" xfId="1015"/>
    <cellStyle name="20% - Accent6 19" xfId="1122"/>
    <cellStyle name="20% - Accent6 2" xfId="76"/>
    <cellStyle name="20% - Accent6 2 2" xfId="5715"/>
    <cellStyle name="20% - Accent6 20" xfId="1098"/>
    <cellStyle name="20% - Accent6 21" xfId="1176"/>
    <cellStyle name="20% - Accent6 22" xfId="1116"/>
    <cellStyle name="20% - Accent6 23" xfId="1340"/>
    <cellStyle name="20% - Accent6 23 2" xfId="2540"/>
    <cellStyle name="20% - Accent6 23 3" xfId="2888"/>
    <cellStyle name="20% - Accent6 23 4" xfId="1949"/>
    <cellStyle name="20% - Accent6 23 5" xfId="2028"/>
    <cellStyle name="20% - Accent6 23 6" xfId="2326"/>
    <cellStyle name="20% - Accent6 23 7" xfId="2016"/>
    <cellStyle name="20% - Accent6 23 8" xfId="2366"/>
    <cellStyle name="20% - Accent6 24" xfId="1486"/>
    <cellStyle name="20% - Accent6 24 2" xfId="2679"/>
    <cellStyle name="20% - Accent6 24 3" xfId="3027"/>
    <cellStyle name="20% - Accent6 24 4" xfId="2344"/>
    <cellStyle name="20% - Accent6 24 5" xfId="2206"/>
    <cellStyle name="20% - Accent6 24 6" xfId="3631"/>
    <cellStyle name="20% - Accent6 24 7" xfId="3826"/>
    <cellStyle name="20% - Accent6 24 8" xfId="3988"/>
    <cellStyle name="20% - Accent6 25" xfId="1505"/>
    <cellStyle name="20% - Accent6 25 2" xfId="2698"/>
    <cellStyle name="20% - Accent6 25 3" xfId="3046"/>
    <cellStyle name="20% - Accent6 25 4" xfId="3312"/>
    <cellStyle name="20% - Accent6 25 5" xfId="3532"/>
    <cellStyle name="20% - Accent6 25 6" xfId="3740"/>
    <cellStyle name="20% - Accent6 25 7" xfId="3922"/>
    <cellStyle name="20% - Accent6 25 8" xfId="4071"/>
    <cellStyle name="20% - Accent6 26" xfId="1514"/>
    <cellStyle name="20% - Accent6 26 2" xfId="2707"/>
    <cellStyle name="20% - Accent6 26 3" xfId="3055"/>
    <cellStyle name="20% - Accent6 26 4" xfId="2149"/>
    <cellStyle name="20% - Accent6 26 5" xfId="3347"/>
    <cellStyle name="20% - Accent6 26 6" xfId="3615"/>
    <cellStyle name="20% - Accent6 26 7" xfId="3812"/>
    <cellStyle name="20% - Accent6 26 8" xfId="3977"/>
    <cellStyle name="20% - Accent6 27" xfId="1322"/>
    <cellStyle name="20% - Accent6 27 2" xfId="2523"/>
    <cellStyle name="20% - Accent6 27 3" xfId="2872"/>
    <cellStyle name="20% - Accent6 27 4" xfId="2012"/>
    <cellStyle name="20% - Accent6 27 5" xfId="3691"/>
    <cellStyle name="20% - Accent6 27 6" xfId="3881"/>
    <cellStyle name="20% - Accent6 27 7" xfId="4036"/>
    <cellStyle name="20% - Accent6 27 8" xfId="4146"/>
    <cellStyle name="20% - Accent6 28" xfId="1560"/>
    <cellStyle name="20% - Accent6 28 2" xfId="2748"/>
    <cellStyle name="20% - Accent6 28 3" xfId="3097"/>
    <cellStyle name="20% - Accent6 28 4" xfId="1984"/>
    <cellStyle name="20% - Accent6 28 5" xfId="3678"/>
    <cellStyle name="20% - Accent6 28 6" xfId="3869"/>
    <cellStyle name="20% - Accent6 28 7" xfId="4028"/>
    <cellStyle name="20% - Accent6 28 8" xfId="4140"/>
    <cellStyle name="20% - Accent6 29" xfId="1530"/>
    <cellStyle name="20% - Accent6 29 2" xfId="2720"/>
    <cellStyle name="20% - Accent6 29 3" xfId="3069"/>
    <cellStyle name="20% - Accent6 29 4" xfId="2400"/>
    <cellStyle name="20% - Accent6 29 5" xfId="3662"/>
    <cellStyle name="20% - Accent6 29 6" xfId="3855"/>
    <cellStyle name="20% - Accent6 29 7" xfId="4015"/>
    <cellStyle name="20% - Accent6 29 8" xfId="4131"/>
    <cellStyle name="20% - Accent6 3" xfId="178"/>
    <cellStyle name="20% - Accent6 30" xfId="1437"/>
    <cellStyle name="20% - Accent6 30 2" xfId="2632"/>
    <cellStyle name="20% - Accent6 30 3" xfId="2979"/>
    <cellStyle name="20% - Accent6 30 4" xfId="2242"/>
    <cellStyle name="20% - Accent6 30 5" xfId="1743"/>
    <cellStyle name="20% - Accent6 30 6" xfId="3725"/>
    <cellStyle name="20% - Accent6 30 7" xfId="3910"/>
    <cellStyle name="20% - Accent6 30 8" xfId="4062"/>
    <cellStyle name="20% - Accent6 4" xfId="435"/>
    <cellStyle name="20% - Accent6 5" xfId="641"/>
    <cellStyle name="20% - Accent6 6" xfId="492"/>
    <cellStyle name="20% - Accent6 7" xfId="603"/>
    <cellStyle name="20% - Accent6 8" xfId="474"/>
    <cellStyle name="20% - Accent6 9" xfId="574"/>
    <cellStyle name="40% - Accent1" xfId="7" builtinId="31" customBuiltin="1"/>
    <cellStyle name="40% - Accent1 10" xfId="515"/>
    <cellStyle name="40% - Accent1 11" xfId="503"/>
    <cellStyle name="40% - Accent1 12" xfId="525"/>
    <cellStyle name="40% - Accent1 13" xfId="694"/>
    <cellStyle name="40% - Accent1 14" xfId="734"/>
    <cellStyle name="40% - Accent1 15" xfId="773"/>
    <cellStyle name="40% - Accent1 16" xfId="988"/>
    <cellStyle name="40% - Accent1 17" xfId="1165"/>
    <cellStyle name="40% - Accent1 18" xfId="1056"/>
    <cellStyle name="40% - Accent1 19" xfId="1054"/>
    <cellStyle name="40% - Accent1 2" xfId="77"/>
    <cellStyle name="40% - Accent1 2 2" xfId="5716"/>
    <cellStyle name="40% - Accent1 20" xfId="1057"/>
    <cellStyle name="40% - Accent1 21" xfId="1053"/>
    <cellStyle name="40% - Accent1 22" xfId="1060"/>
    <cellStyle name="40% - Accent1 23" xfId="1568"/>
    <cellStyle name="40% - Accent1 23 2" xfId="2756"/>
    <cellStyle name="40% - Accent1 23 3" xfId="3105"/>
    <cellStyle name="40% - Accent1 23 4" xfId="3408"/>
    <cellStyle name="40% - Accent1 23 5" xfId="1827"/>
    <cellStyle name="40% - Accent1 23 6" xfId="3396"/>
    <cellStyle name="40% - Accent1 23 7" xfId="1757"/>
    <cellStyle name="40% - Accent1 23 8" xfId="2869"/>
    <cellStyle name="40% - Accent1 24" xfId="1498"/>
    <cellStyle name="40% - Accent1 24 2" xfId="2691"/>
    <cellStyle name="40% - Accent1 24 3" xfId="3039"/>
    <cellStyle name="40% - Accent1 24 4" xfId="1846"/>
    <cellStyle name="40% - Accent1 24 5" xfId="1859"/>
    <cellStyle name="40% - Accent1 24 6" xfId="2063"/>
    <cellStyle name="40% - Accent1 24 7" xfId="1917"/>
    <cellStyle name="40% - Accent1 24 8" xfId="2169"/>
    <cellStyle name="40% - Accent1 25" xfId="1391"/>
    <cellStyle name="40% - Accent1 25 2" xfId="2586"/>
    <cellStyle name="40% - Accent1 25 3" xfId="2935"/>
    <cellStyle name="40% - Accent1 25 4" xfId="3477"/>
    <cellStyle name="40% - Accent1 25 5" xfId="3447"/>
    <cellStyle name="40% - Accent1 25 6" xfId="1875"/>
    <cellStyle name="40% - Accent1 25 7" xfId="2029"/>
    <cellStyle name="40% - Accent1 25 8" xfId="1862"/>
    <cellStyle name="40% - Accent1 26" xfId="1393"/>
    <cellStyle name="40% - Accent1 26 2" xfId="2588"/>
    <cellStyle name="40% - Accent1 26 3" xfId="2937"/>
    <cellStyle name="40% - Accent1 26 4" xfId="3443"/>
    <cellStyle name="40% - Accent1 26 5" xfId="2153"/>
    <cellStyle name="40% - Accent1 26 6" xfId="3638"/>
    <cellStyle name="40% - Accent1 26 7" xfId="3832"/>
    <cellStyle name="40% - Accent1 26 8" xfId="3993"/>
    <cellStyle name="40% - Accent1 27" xfId="1390"/>
    <cellStyle name="40% - Accent1 27 2" xfId="2585"/>
    <cellStyle name="40% - Accent1 27 3" xfId="2934"/>
    <cellStyle name="40% - Accent1 27 4" xfId="2220"/>
    <cellStyle name="40% - Accent1 27 5" xfId="1971"/>
    <cellStyle name="40% - Accent1 27 6" xfId="3266"/>
    <cellStyle name="40% - Accent1 27 7" xfId="1927"/>
    <cellStyle name="40% - Accent1 27 8" xfId="3231"/>
    <cellStyle name="40% - Accent1 28" xfId="1338"/>
    <cellStyle name="40% - Accent1 28 2" xfId="2539"/>
    <cellStyle name="40% - Accent1 28 3" xfId="2887"/>
    <cellStyle name="40% - Accent1 28 4" xfId="1969"/>
    <cellStyle name="40% - Accent1 28 5" xfId="2105"/>
    <cellStyle name="40% - Accent1 28 6" xfId="3569"/>
    <cellStyle name="40% - Accent1 28 7" xfId="3771"/>
    <cellStyle name="40% - Accent1 28 8" xfId="3947"/>
    <cellStyle name="40% - Accent1 29" xfId="1387"/>
    <cellStyle name="40% - Accent1 29 2" xfId="2582"/>
    <cellStyle name="40% - Accent1 29 3" xfId="2931"/>
    <cellStyle name="40% - Accent1 29 4" xfId="1789"/>
    <cellStyle name="40% - Accent1 29 5" xfId="3635"/>
    <cellStyle name="40% - Accent1 29 6" xfId="3830"/>
    <cellStyle name="40% - Accent1 29 7" xfId="3991"/>
    <cellStyle name="40% - Accent1 29 8" xfId="4114"/>
    <cellStyle name="40% - Accent1 3" xfId="124"/>
    <cellStyle name="40% - Accent1 30" xfId="1398"/>
    <cellStyle name="40% - Accent1 30 2" xfId="2593"/>
    <cellStyle name="40% - Accent1 30 3" xfId="2942"/>
    <cellStyle name="40% - Accent1 30 4" xfId="2356"/>
    <cellStyle name="40% - Accent1 30 5" xfId="2362"/>
    <cellStyle name="40% - Accent1 30 6" xfId="3546"/>
    <cellStyle name="40% - Accent1 30 7" xfId="3752"/>
    <cellStyle name="40% - Accent1 30 8" xfId="3930"/>
    <cellStyle name="40% - Accent1 4" xfId="436"/>
    <cellStyle name="40% - Accent1 5" xfId="639"/>
    <cellStyle name="40% - Accent1 6" xfId="511"/>
    <cellStyle name="40% - Accent1 7" xfId="509"/>
    <cellStyle name="40% - Accent1 8" xfId="512"/>
    <cellStyle name="40% - Accent1 9" xfId="508"/>
    <cellStyle name="40% - Accent2" xfId="8" builtinId="35" customBuiltin="1"/>
    <cellStyle name="40% - Accent2 10" xfId="743"/>
    <cellStyle name="40% - Accent2 11" xfId="782"/>
    <cellStyle name="40% - Accent2 12" xfId="816"/>
    <cellStyle name="40% - Accent2 13" xfId="850"/>
    <cellStyle name="40% - Accent2 14" xfId="882"/>
    <cellStyle name="40% - Accent2 15" xfId="916"/>
    <cellStyle name="40% - Accent2 16" xfId="989"/>
    <cellStyle name="40% - Accent2 17" xfId="1162"/>
    <cellStyle name="40% - Accent2 18" xfId="1046"/>
    <cellStyle name="40% - Accent2 19" xfId="1072"/>
    <cellStyle name="40% - Accent2 2" xfId="78"/>
    <cellStyle name="40% - Accent2 2 2" xfId="5717"/>
    <cellStyle name="40% - Accent2 20" xfId="1184"/>
    <cellStyle name="40% - Accent2 21" xfId="1215"/>
    <cellStyle name="40% - Accent2 22" xfId="1245"/>
    <cellStyle name="40% - Accent2 23" xfId="1566"/>
    <cellStyle name="40% - Accent2 23 2" xfId="2754"/>
    <cellStyle name="40% - Accent2 23 3" xfId="3103"/>
    <cellStyle name="40% - Accent2 23 4" xfId="1761"/>
    <cellStyle name="40% - Accent2 23 5" xfId="3297"/>
    <cellStyle name="40% - Accent2 23 6" xfId="2036"/>
    <cellStyle name="40% - Accent2 23 7" xfId="1795"/>
    <cellStyle name="40% - Accent2 23 8" xfId="3703"/>
    <cellStyle name="40% - Accent2 24" xfId="1559"/>
    <cellStyle name="40% - Accent2 24 2" xfId="2747"/>
    <cellStyle name="40% - Accent2 24 3" xfId="3096"/>
    <cellStyle name="40% - Accent2 24 4" xfId="2377"/>
    <cellStyle name="40% - Accent2 24 5" xfId="3694"/>
    <cellStyle name="40% - Accent2 24 6" xfId="3884"/>
    <cellStyle name="40% - Accent2 24 7" xfId="4039"/>
    <cellStyle name="40% - Accent2 24 8" xfId="4149"/>
    <cellStyle name="40% - Accent2 25" xfId="1401"/>
    <cellStyle name="40% - Accent2 25 2" xfId="2596"/>
    <cellStyle name="40% - Accent2 25 3" xfId="2945"/>
    <cellStyle name="40% - Accent2 25 4" xfId="2062"/>
    <cellStyle name="40% - Accent2 25 5" xfId="2332"/>
    <cellStyle name="40% - Accent2 25 6" xfId="3358"/>
    <cellStyle name="40% - Accent2 25 7" xfId="2325"/>
    <cellStyle name="40% - Accent2 25 8" xfId="2418"/>
    <cellStyle name="40% - Accent2 26" xfId="1374"/>
    <cellStyle name="40% - Accent2 26 2" xfId="2569"/>
    <cellStyle name="40% - Accent2 26 3" xfId="2919"/>
    <cellStyle name="40% - Accent2 26 4" xfId="2382"/>
    <cellStyle name="40% - Accent2 26 5" xfId="2126"/>
    <cellStyle name="40% - Accent2 26 6" xfId="3677"/>
    <cellStyle name="40% - Accent2 26 7" xfId="3868"/>
    <cellStyle name="40% - Accent2 26 8" xfId="4027"/>
    <cellStyle name="40% - Accent2 27" xfId="1488"/>
    <cellStyle name="40% - Accent2 27 2" xfId="2681"/>
    <cellStyle name="40% - Accent2 27 3" xfId="3029"/>
    <cellStyle name="40% - Accent2 27 4" xfId="2283"/>
    <cellStyle name="40% - Accent2 27 5" xfId="2022"/>
    <cellStyle name="40% - Accent2 27 6" xfId="3702"/>
    <cellStyle name="40% - Accent2 27 7" xfId="3890"/>
    <cellStyle name="40% - Accent2 27 8" xfId="4044"/>
    <cellStyle name="40% - Accent2 28" xfId="1589"/>
    <cellStyle name="40% - Accent2 28 2" xfId="2767"/>
    <cellStyle name="40% - Accent2 28 3" xfId="3121"/>
    <cellStyle name="40% - Accent2 28 4" xfId="2148"/>
    <cellStyle name="40% - Accent2 28 5" xfId="3538"/>
    <cellStyle name="40% - Accent2 28 6" xfId="3744"/>
    <cellStyle name="40% - Accent2 28 7" xfId="3925"/>
    <cellStyle name="40% - Accent2 28 8" xfId="4074"/>
    <cellStyle name="40% - Accent2 29" xfId="1620"/>
    <cellStyle name="40% - Accent2 29 2" xfId="2797"/>
    <cellStyle name="40% - Accent2 29 3" xfId="3151"/>
    <cellStyle name="40% - Accent2 29 4" xfId="1736"/>
    <cellStyle name="40% - Accent2 29 5" xfId="3529"/>
    <cellStyle name="40% - Accent2 29 6" xfId="3737"/>
    <cellStyle name="40% - Accent2 29 7" xfId="3920"/>
    <cellStyle name="40% - Accent2 29 8" xfId="4069"/>
    <cellStyle name="40% - Accent2 3" xfId="68"/>
    <cellStyle name="40% - Accent2 30" xfId="1654"/>
    <cellStyle name="40% - Accent2 30 2" xfId="2826"/>
    <cellStyle name="40% - Accent2 30 3" xfId="3180"/>
    <cellStyle name="40% - Accent2 30 4" xfId="3480"/>
    <cellStyle name="40% - Accent2 30 5" xfId="3607"/>
    <cellStyle name="40% - Accent2 30 6" xfId="3806"/>
    <cellStyle name="40% - Accent2 30 7" xfId="3972"/>
    <cellStyle name="40% - Accent2 30 8" xfId="4102"/>
    <cellStyle name="40% - Accent2 4" xfId="437"/>
    <cellStyle name="40% - Accent2 5" xfId="635"/>
    <cellStyle name="40% - Accent2 6" xfId="500"/>
    <cellStyle name="40% - Accent2 7" xfId="529"/>
    <cellStyle name="40% - Accent2 8" xfId="663"/>
    <cellStyle name="40% - Accent2 9" xfId="703"/>
    <cellStyle name="40% - Accent3" xfId="9" builtinId="39" customBuiltin="1"/>
    <cellStyle name="40% - Accent3 10" xfId="578"/>
    <cellStyle name="40% - Accent3 11" xfId="617"/>
    <cellStyle name="40% - Accent3 12" xfId="522"/>
    <cellStyle name="40% - Accent3 13" xfId="664"/>
    <cellStyle name="40% - Accent3 14" xfId="704"/>
    <cellStyle name="40% - Accent3 15" xfId="744"/>
    <cellStyle name="40% - Accent3 16" xfId="990"/>
    <cellStyle name="40% - Accent3 17" xfId="1161"/>
    <cellStyle name="40% - Accent3 18" xfId="1048"/>
    <cellStyle name="40% - Accent3 19" xfId="1033"/>
    <cellStyle name="40% - Accent3 2" xfId="79"/>
    <cellStyle name="40% - Accent3 2 2" xfId="5718"/>
    <cellStyle name="40% - Accent3 20" xfId="1092"/>
    <cellStyle name="40% - Accent3 21" xfId="1177"/>
    <cellStyle name="40% - Accent3 22" xfId="1113"/>
    <cellStyle name="40% - Accent3 23" xfId="1564"/>
    <cellStyle name="40% - Accent3 23 2" xfId="2752"/>
    <cellStyle name="40% - Accent3 23 3" xfId="3101"/>
    <cellStyle name="40% - Accent3 23 4" xfId="1804"/>
    <cellStyle name="40% - Accent3 23 5" xfId="3668"/>
    <cellStyle name="40% - Accent3 23 6" xfId="3861"/>
    <cellStyle name="40% - Accent3 23 7" xfId="4021"/>
    <cellStyle name="40% - Accent3 23 8" xfId="4134"/>
    <cellStyle name="40% - Accent3 24" xfId="1540"/>
    <cellStyle name="40% - Accent3 24 2" xfId="2729"/>
    <cellStyle name="40% - Accent3 24 3" xfId="3078"/>
    <cellStyle name="40% - Accent3 24 4" xfId="3271"/>
    <cellStyle name="40% - Accent3 24 5" xfId="2086"/>
    <cellStyle name="40% - Accent3 24 6" xfId="1874"/>
    <cellStyle name="40% - Accent3 24 7" xfId="1860"/>
    <cellStyle name="40% - Accent3 24 8" xfId="2307"/>
    <cellStyle name="40% - Accent3 25" xfId="1399"/>
    <cellStyle name="40% - Accent3 25 2" xfId="2594"/>
    <cellStyle name="40% - Accent3 25 3" xfId="2943"/>
    <cellStyle name="40% - Accent3 25 4" xfId="2291"/>
    <cellStyle name="40% - Accent3 25 5" xfId="1777"/>
    <cellStyle name="40% - Accent3 25 6" xfId="2317"/>
    <cellStyle name="40% - Accent3 25 7" xfId="3558"/>
    <cellStyle name="40% - Accent3 25 8" xfId="3762"/>
    <cellStyle name="40% - Accent3 26" xfId="1522"/>
    <cellStyle name="40% - Accent3 26 2" xfId="2714"/>
    <cellStyle name="40% - Accent3 26 3" xfId="3062"/>
    <cellStyle name="40% - Accent3 26 4" xfId="2297"/>
    <cellStyle name="40% - Accent3 26 5" xfId="3342"/>
    <cellStyle name="40% - Accent3 26 6" xfId="1673"/>
    <cellStyle name="40% - Accent3 26 7" xfId="1811"/>
    <cellStyle name="40% - Accent3 26 8" xfId="1851"/>
    <cellStyle name="40% - Accent3 27" xfId="1351"/>
    <cellStyle name="40% - Accent3 27 2" xfId="2549"/>
    <cellStyle name="40% - Accent3 27 3" xfId="2899"/>
    <cellStyle name="40% - Accent3 27 4" xfId="2342"/>
    <cellStyle name="40% - Accent3 27 5" xfId="3718"/>
    <cellStyle name="40% - Accent3 27 6" xfId="3903"/>
    <cellStyle name="40% - Accent3 27 7" xfId="4056"/>
    <cellStyle name="40% - Accent3 27 8" xfId="4161"/>
    <cellStyle name="40% - Accent3 28" xfId="1549"/>
    <cellStyle name="40% - Accent3 28 2" xfId="2738"/>
    <cellStyle name="40% - Accent3 28 3" xfId="3087"/>
    <cellStyle name="40% - Accent3 28 4" xfId="2138"/>
    <cellStyle name="40% - Accent3 28 5" xfId="2354"/>
    <cellStyle name="40% - Accent3 28 6" xfId="2118"/>
    <cellStyle name="40% - Accent3 28 7" xfId="3436"/>
    <cellStyle name="40% - Accent3 28 8" xfId="1855"/>
    <cellStyle name="40% - Accent3 29" xfId="1534"/>
    <cellStyle name="40% - Accent3 29 2" xfId="2723"/>
    <cellStyle name="40% - Accent3 29 3" xfId="3072"/>
    <cellStyle name="40% - Accent3 29 4" xfId="2229"/>
    <cellStyle name="40% - Accent3 29 5" xfId="3571"/>
    <cellStyle name="40% - Accent3 29 6" xfId="3773"/>
    <cellStyle name="40% - Accent3 29 7" xfId="3949"/>
    <cellStyle name="40% - Accent3 29 8" xfId="4091"/>
    <cellStyle name="40% - Accent3 3" xfId="61"/>
    <cellStyle name="40% - Accent3 30" xfId="1447"/>
    <cellStyle name="40% - Accent3 30 2" xfId="2642"/>
    <cellStyle name="40% - Accent3 30 3" xfId="2989"/>
    <cellStyle name="40% - Accent3 30 4" xfId="3348"/>
    <cellStyle name="40% - Accent3 30 5" xfId="3667"/>
    <cellStyle name="40% - Accent3 30 6" xfId="3860"/>
    <cellStyle name="40% - Accent3 30 7" xfId="4020"/>
    <cellStyle name="40% - Accent3 30 8" xfId="4133"/>
    <cellStyle name="40% - Accent3 4" xfId="438"/>
    <cellStyle name="40% - Accent3 5" xfId="634"/>
    <cellStyle name="40% - Accent3 6" xfId="502"/>
    <cellStyle name="40% - Accent3 7" xfId="484"/>
    <cellStyle name="40% - Accent3 8" xfId="557"/>
    <cellStyle name="40% - Accent3 9" xfId="654"/>
    <cellStyle name="40% - Accent4" xfId="10" builtinId="43" customBuiltin="1"/>
    <cellStyle name="40% - Accent4 10" xfId="763"/>
    <cellStyle name="40% - Accent4 11" xfId="799"/>
    <cellStyle name="40% - Accent4 12" xfId="833"/>
    <cellStyle name="40% - Accent4 13" xfId="866"/>
    <cellStyle name="40% - Accent4 14" xfId="900"/>
    <cellStyle name="40% - Accent4 15" xfId="929"/>
    <cellStyle name="40% - Accent4 16" xfId="991"/>
    <cellStyle name="40% - Accent4 17" xfId="1160"/>
    <cellStyle name="40% - Accent4 18" xfId="1051"/>
    <cellStyle name="40% - Accent4 19" xfId="1064"/>
    <cellStyle name="40% - Accent4 2" xfId="80"/>
    <cellStyle name="40% - Accent4 2 2" xfId="5719"/>
    <cellStyle name="40% - Accent4 20" xfId="1200"/>
    <cellStyle name="40% - Accent4 21" xfId="1231"/>
    <cellStyle name="40% - Accent4 22" xfId="1258"/>
    <cellStyle name="40% - Accent4 23" xfId="1327"/>
    <cellStyle name="40% - Accent4 23 2" xfId="2528"/>
    <cellStyle name="40% - Accent4 23 3" xfId="2877"/>
    <cellStyle name="40% - Accent4 23 4" xfId="2451"/>
    <cellStyle name="40% - Accent4 23 5" xfId="3537"/>
    <cellStyle name="40% - Accent4 23 6" xfId="3743"/>
    <cellStyle name="40% - Accent4 23 7" xfId="3924"/>
    <cellStyle name="40% - Accent4 23 8" xfId="4073"/>
    <cellStyle name="40% - Accent4 24" xfId="1539"/>
    <cellStyle name="40% - Accent4 24 2" xfId="2728"/>
    <cellStyle name="40% - Accent4 24 3" xfId="3077"/>
    <cellStyle name="40% - Accent4 24 4" xfId="3419"/>
    <cellStyle name="40% - Accent4 24 5" xfId="2232"/>
    <cellStyle name="40% - Accent4 24 6" xfId="3683"/>
    <cellStyle name="40% - Accent4 24 7" xfId="3874"/>
    <cellStyle name="40% - Accent4 24 8" xfId="4031"/>
    <cellStyle name="40% - Accent4 25" xfId="1395"/>
    <cellStyle name="40% - Accent4 25 2" xfId="2590"/>
    <cellStyle name="40% - Accent4 25 3" xfId="2939"/>
    <cellStyle name="40% - Accent4 25 4" xfId="3287"/>
    <cellStyle name="40% - Accent4 25 5" xfId="2370"/>
    <cellStyle name="40% - Accent4 25 6" xfId="3398"/>
    <cellStyle name="40% - Accent4 25 7" xfId="2124"/>
    <cellStyle name="40% - Accent4 25 8" xfId="1962"/>
    <cellStyle name="40% - Accent4 26" xfId="1384"/>
    <cellStyle name="40% - Accent4 26 2" xfId="2579"/>
    <cellStyle name="40% - Accent4 26 3" xfId="2928"/>
    <cellStyle name="40% - Accent4 26 4" xfId="2129"/>
    <cellStyle name="40% - Accent4 26 5" xfId="3712"/>
    <cellStyle name="40% - Accent4 26 6" xfId="3898"/>
    <cellStyle name="40% - Accent4 26 7" xfId="4052"/>
    <cellStyle name="40% - Accent4 26 8" xfId="4159"/>
    <cellStyle name="40% - Accent4 27" xfId="1442"/>
    <cellStyle name="40% - Accent4 27 2" xfId="2637"/>
    <cellStyle name="40% - Accent4 27 3" xfId="2984"/>
    <cellStyle name="40% - Accent4 27 4" xfId="2039"/>
    <cellStyle name="40% - Accent4 27 5" xfId="3597"/>
    <cellStyle name="40% - Accent4 27 6" xfId="3797"/>
    <cellStyle name="40% - Accent4 27 7" xfId="3966"/>
    <cellStyle name="40% - Accent4 27 8" xfId="4099"/>
    <cellStyle name="40% - Accent4 28" xfId="1605"/>
    <cellStyle name="40% - Accent4 28 2" xfId="2783"/>
    <cellStyle name="40% - Accent4 28 3" xfId="3137"/>
    <cellStyle name="40% - Accent4 28 4" xfId="2419"/>
    <cellStyle name="40% - Accent4 28 5" xfId="2272"/>
    <cellStyle name="40% - Accent4 28 6" xfId="1886"/>
    <cellStyle name="40% - Accent4 28 7" xfId="3544"/>
    <cellStyle name="40% - Accent4 28 8" xfId="3750"/>
    <cellStyle name="40% - Accent4 29" xfId="1637"/>
    <cellStyle name="40% - Accent4 29 2" xfId="2812"/>
    <cellStyle name="40% - Accent4 29 3" xfId="3166"/>
    <cellStyle name="40% - Accent4 29 4" xfId="2372"/>
    <cellStyle name="40% - Accent4 29 5" xfId="1810"/>
    <cellStyle name="40% - Accent4 29 6" xfId="3113"/>
    <cellStyle name="40% - Accent4 29 7" xfId="3255"/>
    <cellStyle name="40% - Accent4 29 8" xfId="2392"/>
    <cellStyle name="40% - Accent4 3" xfId="60"/>
    <cellStyle name="40% - Accent4 30" xfId="1667"/>
    <cellStyle name="40% - Accent4 30 2" xfId="2839"/>
    <cellStyle name="40% - Accent4 30 3" xfId="3193"/>
    <cellStyle name="40% - Accent4 30 4" xfId="1781"/>
    <cellStyle name="40% - Accent4 30 5" xfId="2387"/>
    <cellStyle name="40% - Accent4 30 6" xfId="1746"/>
    <cellStyle name="40% - Accent4 30 7" xfId="1897"/>
    <cellStyle name="40% - Accent4 30 8" xfId="2337"/>
    <cellStyle name="40% - Accent4 4" xfId="439"/>
    <cellStyle name="40% - Accent4 5" xfId="632"/>
    <cellStyle name="40% - Accent4 6" xfId="506"/>
    <cellStyle name="40% - Accent4 7" xfId="519"/>
    <cellStyle name="40% - Accent4 8" xfId="684"/>
    <cellStyle name="40% - Accent4 9" xfId="724"/>
    <cellStyle name="40% - Accent5" xfId="11" builtinId="47" customBuiltin="1"/>
    <cellStyle name="40% - Accent5 10" xfId="804"/>
    <cellStyle name="40% - Accent5 11" xfId="838"/>
    <cellStyle name="40% - Accent5 12" xfId="871"/>
    <cellStyle name="40% - Accent5 13" xfId="905"/>
    <cellStyle name="40% - Accent5 14" xfId="933"/>
    <cellStyle name="40% - Accent5 15" xfId="955"/>
    <cellStyle name="40% - Accent5 16" xfId="992"/>
    <cellStyle name="40% - Accent5 17" xfId="1042"/>
    <cellStyle name="40% - Accent5 18" xfId="1080"/>
    <cellStyle name="40% - Accent5 19" xfId="1205"/>
    <cellStyle name="40% - Accent5 2" xfId="81"/>
    <cellStyle name="40% - Accent5 2 2" xfId="5720"/>
    <cellStyle name="40% - Accent5 20" xfId="1236"/>
    <cellStyle name="40% - Accent5 21" xfId="1262"/>
    <cellStyle name="40% - Accent5 22" xfId="1283"/>
    <cellStyle name="40% - Accent5 23" xfId="1545"/>
    <cellStyle name="40% - Accent5 23 2" xfId="2734"/>
    <cellStyle name="40% - Accent5 23 3" xfId="3083"/>
    <cellStyle name="40% - Accent5 23 4" xfId="2363"/>
    <cellStyle name="40% - Accent5 23 5" xfId="2165"/>
    <cellStyle name="40% - Accent5 23 6" xfId="2973"/>
    <cellStyle name="40% - Accent5 23 7" xfId="1884"/>
    <cellStyle name="40% - Accent5 23 8" xfId="2250"/>
    <cellStyle name="40% - Accent5 24" xfId="1411"/>
    <cellStyle name="40% - Accent5 24 2" xfId="2606"/>
    <cellStyle name="40% - Accent5 24 3" xfId="2954"/>
    <cellStyle name="40% - Accent5 24 4" xfId="1977"/>
    <cellStyle name="40% - Accent5 24 5" xfId="2267"/>
    <cellStyle name="40% - Accent5 24 6" xfId="2428"/>
    <cellStyle name="40% - Accent5 24 7" xfId="1943"/>
    <cellStyle name="40% - Accent5 24 8" xfId="2414"/>
    <cellStyle name="40% - Accent5 25" xfId="1363"/>
    <cellStyle name="40% - Accent5 25 2" xfId="2561"/>
    <cellStyle name="40% - Accent5 25 3" xfId="2911"/>
    <cellStyle name="40% - Accent5 25 4" xfId="3407"/>
    <cellStyle name="40% - Accent5 25 5" xfId="1628"/>
    <cellStyle name="40% - Accent5 25 6" xfId="3594"/>
    <cellStyle name="40% - Accent5 25 7" xfId="3794"/>
    <cellStyle name="40% - Accent5 25 8" xfId="3963"/>
    <cellStyle name="40% - Accent5 26" xfId="1434"/>
    <cellStyle name="40% - Accent5 26 2" xfId="2629"/>
    <cellStyle name="40% - Accent5 26 3" xfId="2976"/>
    <cellStyle name="40% - Accent5 26 4" xfId="2266"/>
    <cellStyle name="40% - Accent5 26 5" xfId="3481"/>
    <cellStyle name="40% - Accent5 26 6" xfId="1852"/>
    <cellStyle name="40% - Accent5 26 7" xfId="2048"/>
    <cellStyle name="40% - Accent5 26 8" xfId="1876"/>
    <cellStyle name="40% - Accent5 27" xfId="1610"/>
    <cellStyle name="40% - Accent5 27 2" xfId="2788"/>
    <cellStyle name="40% - Accent5 27 3" xfId="3142"/>
    <cellStyle name="40% - Accent5 27 4" xfId="2388"/>
    <cellStyle name="40% - Accent5 27 5" xfId="2254"/>
    <cellStyle name="40% - Accent5 27 6" xfId="2110"/>
    <cellStyle name="40% - Accent5 27 7" xfId="3687"/>
    <cellStyle name="40% - Accent5 27 8" xfId="3877"/>
    <cellStyle name="40% - Accent5 28" xfId="1643"/>
    <cellStyle name="40% - Accent5 28 2" xfId="2817"/>
    <cellStyle name="40% - Accent5 28 3" xfId="3171"/>
    <cellStyle name="40% - Accent5 28 4" xfId="2351"/>
    <cellStyle name="40% - Accent5 28 5" xfId="3228"/>
    <cellStyle name="40% - Accent5 28 6" xfId="3496"/>
    <cellStyle name="40% - Accent5 28 7" xfId="3547"/>
    <cellStyle name="40% - Accent5 28 8" xfId="3753"/>
    <cellStyle name="40% - Accent5 29" xfId="1672"/>
    <cellStyle name="40% - Accent5 29 2" xfId="2843"/>
    <cellStyle name="40% - Accent5 29 3" xfId="3197"/>
    <cellStyle name="40% - Accent5 29 4" xfId="2313"/>
    <cellStyle name="40% - Accent5 29 5" xfId="2440"/>
    <cellStyle name="40% - Accent5 29 6" xfId="2140"/>
    <cellStyle name="40% - Accent5 29 7" xfId="1754"/>
    <cellStyle name="40% - Accent5 29 8" xfId="2391"/>
    <cellStyle name="40% - Accent5 3" xfId="59"/>
    <cellStyle name="40% - Accent5 30" xfId="1698"/>
    <cellStyle name="40% - Accent5 30 2" xfId="2862"/>
    <cellStyle name="40% - Accent5 30 3" xfId="3219"/>
    <cellStyle name="40% - Accent5 30 4" xfId="1920"/>
    <cellStyle name="40% - Accent5 30 5" xfId="2023"/>
    <cellStyle name="40% - Accent5 30 6" xfId="3726"/>
    <cellStyle name="40% - Accent5 30 7" xfId="3911"/>
    <cellStyle name="40% - Accent5 30 8" xfId="4063"/>
    <cellStyle name="40% - Accent5 4" xfId="440"/>
    <cellStyle name="40% - Accent5 5" xfId="493"/>
    <cellStyle name="40% - Accent5 6" xfId="543"/>
    <cellStyle name="40% - Accent5 7" xfId="689"/>
    <cellStyle name="40% - Accent5 8" xfId="729"/>
    <cellStyle name="40% - Accent5 9" xfId="768"/>
    <cellStyle name="40% - Accent6" xfId="12" builtinId="51" customBuiltin="1"/>
    <cellStyle name="40% - Accent6 10" xfId="720"/>
    <cellStyle name="40% - Accent6 11" xfId="759"/>
    <cellStyle name="40% - Accent6 12" xfId="795"/>
    <cellStyle name="40% - Accent6 13" xfId="829"/>
    <cellStyle name="40% - Accent6 14" xfId="862"/>
    <cellStyle name="40% - Accent6 15" xfId="896"/>
    <cellStyle name="40% - Accent6 16" xfId="993"/>
    <cellStyle name="40% - Accent6 17" xfId="1159"/>
    <cellStyle name="40% - Accent6 18" xfId="1031"/>
    <cellStyle name="40% - Accent6 19" xfId="1035"/>
    <cellStyle name="40% - Accent6 2" xfId="82"/>
    <cellStyle name="40% - Accent6 2 2" xfId="5721"/>
    <cellStyle name="40% - Accent6 20" xfId="1088"/>
    <cellStyle name="40% - Accent6 21" xfId="1196"/>
    <cellStyle name="40% - Accent6 22" xfId="1227"/>
    <cellStyle name="40% - Accent6 23" xfId="1558"/>
    <cellStyle name="40% - Accent6 23 2" xfId="2746"/>
    <cellStyle name="40% - Accent6 23 3" xfId="3095"/>
    <cellStyle name="40% - Accent6 23 4" xfId="2078"/>
    <cellStyle name="40% - Accent6 23 5" xfId="1902"/>
    <cellStyle name="40% - Accent6 23 6" xfId="2415"/>
    <cellStyle name="40% - Accent6 23 7" xfId="2047"/>
    <cellStyle name="40% - Accent6 23 8" xfId="1940"/>
    <cellStyle name="40% - Accent6 24" xfId="1548"/>
    <cellStyle name="40% - Accent6 24 2" xfId="2737"/>
    <cellStyle name="40% - Accent6 24 3" xfId="3086"/>
    <cellStyle name="40% - Accent6 24 4" xfId="2339"/>
    <cellStyle name="40% - Accent6 24 5" xfId="2311"/>
    <cellStyle name="40% - Accent6 24 6" xfId="1933"/>
    <cellStyle name="40% - Accent6 24 7" xfId="2009"/>
    <cellStyle name="40% - Accent6 24 8" xfId="3528"/>
    <cellStyle name="40% - Accent6 25" xfId="1541"/>
    <cellStyle name="40% - Accent6 25 2" xfId="2730"/>
    <cellStyle name="40% - Accent6 25 3" xfId="3079"/>
    <cellStyle name="40% - Accent6 25 4" xfId="3390"/>
    <cellStyle name="40% - Accent6 25 5" xfId="2318"/>
    <cellStyle name="40% - Accent6 25 6" xfId="3552"/>
    <cellStyle name="40% - Accent6 25 7" xfId="3756"/>
    <cellStyle name="40% - Accent6 25 8" xfId="3933"/>
    <cellStyle name="40% - Accent6 26" xfId="1515"/>
    <cellStyle name="40% - Accent6 26 2" xfId="2708"/>
    <cellStyle name="40% - Accent6 26 3" xfId="3056"/>
    <cellStyle name="40% - Accent6 26 4" xfId="2360"/>
    <cellStyle name="40% - Accent6 26 5" xfId="2761"/>
    <cellStyle name="40% - Accent6 26 6" xfId="3695"/>
    <cellStyle name="40% - Accent6 26 7" xfId="3885"/>
    <cellStyle name="40% - Accent6 26 8" xfId="4040"/>
    <cellStyle name="40% - Accent6 27" xfId="1323"/>
    <cellStyle name="40% - Accent6 27 2" xfId="2524"/>
    <cellStyle name="40% - Accent6 27 3" xfId="2873"/>
    <cellStyle name="40% - Accent6 27 4" xfId="1946"/>
    <cellStyle name="40% - Accent6 27 5" xfId="3591"/>
    <cellStyle name="40% - Accent6 27 6" xfId="3791"/>
    <cellStyle name="40% - Accent6 27 7" xfId="3960"/>
    <cellStyle name="40% - Accent6 27 8" xfId="4096"/>
    <cellStyle name="40% - Accent6 28" xfId="1441"/>
    <cellStyle name="40% - Accent6 28 2" xfId="2636"/>
    <cellStyle name="40% - Accent6 28 3" xfId="2983"/>
    <cellStyle name="40% - Accent6 28 4" xfId="2417"/>
    <cellStyle name="40% - Accent6 28 5" xfId="3688"/>
    <cellStyle name="40% - Accent6 28 6" xfId="3878"/>
    <cellStyle name="40% - Accent6 28 7" xfId="4033"/>
    <cellStyle name="40% - Accent6 28 8" xfId="4143"/>
    <cellStyle name="40% - Accent6 29" xfId="1601"/>
    <cellStyle name="40% - Accent6 29 2" xfId="2779"/>
    <cellStyle name="40% - Accent6 29 3" xfId="3133"/>
    <cellStyle name="40% - Accent6 29 4" xfId="3362"/>
    <cellStyle name="40% - Accent6 29 5" xfId="2068"/>
    <cellStyle name="40% - Accent6 29 6" xfId="1890"/>
    <cellStyle name="40% - Accent6 29 7" xfId="3610"/>
    <cellStyle name="40% - Accent6 29 8" xfId="3808"/>
    <cellStyle name="40% - Accent6 3" xfId="140"/>
    <cellStyle name="40% - Accent6 30" xfId="1633"/>
    <cellStyle name="40% - Accent6 30 2" xfId="2808"/>
    <cellStyle name="40% - Accent6 30 3" xfId="3162"/>
    <cellStyle name="40% - Accent6 30 4" xfId="3369"/>
    <cellStyle name="40% - Accent6 30 5" xfId="3350"/>
    <cellStyle name="40% - Accent6 30 6" xfId="2341"/>
    <cellStyle name="40% - Accent6 30 7" xfId="3540"/>
    <cellStyle name="40% - Accent6 30 8" xfId="3746"/>
    <cellStyle name="40% - Accent6 4" xfId="441"/>
    <cellStyle name="40% - Accent6 5" xfId="631"/>
    <cellStyle name="40% - Accent6 6" xfId="481"/>
    <cellStyle name="40% - Accent6 7" xfId="486"/>
    <cellStyle name="40% - Accent6 8" xfId="553"/>
    <cellStyle name="40% - Accent6 9" xfId="680"/>
    <cellStyle name="60% - Accent1" xfId="13" builtinId="32" customBuiltin="1"/>
    <cellStyle name="60% - Accent1 10" xfId="820"/>
    <cellStyle name="60% - Accent1 11" xfId="854"/>
    <cellStyle name="60% - Accent1 12" xfId="887"/>
    <cellStyle name="60% - Accent1 13" xfId="918"/>
    <cellStyle name="60% - Accent1 14" xfId="941"/>
    <cellStyle name="60% - Accent1 15" xfId="960"/>
    <cellStyle name="60% - Accent1 16" xfId="994"/>
    <cellStyle name="60% - Accent1 17" xfId="1157"/>
    <cellStyle name="60% - Accent1 18" xfId="1188"/>
    <cellStyle name="60% - Accent1 19" xfId="1219"/>
    <cellStyle name="60% - Accent1 2" xfId="83"/>
    <cellStyle name="60% - Accent1 2 2" xfId="5722"/>
    <cellStyle name="60% - Accent1 20" xfId="1247"/>
    <cellStyle name="60% - Accent1 21" xfId="1271"/>
    <cellStyle name="60% - Accent1 22" xfId="1287"/>
    <cellStyle name="60% - Accent1 23" xfId="1550"/>
    <cellStyle name="60% - Accent1 23 2" xfId="2739"/>
    <cellStyle name="60% - Accent1 23 3" xfId="3088"/>
    <cellStyle name="60% - Accent1 23 4" xfId="2212"/>
    <cellStyle name="60% - Accent1 23 5" xfId="2162"/>
    <cellStyle name="60% - Accent1 23 6" xfId="2027"/>
    <cellStyle name="60% - Accent1 23 7" xfId="1839"/>
    <cellStyle name="60% - Accent1 23 8" xfId="3521"/>
    <cellStyle name="60% - Accent1 24" xfId="1454"/>
    <cellStyle name="60% - Accent1 24 2" xfId="2649"/>
    <cellStyle name="60% - Accent1 24 3" xfId="2996"/>
    <cellStyle name="60% - Accent1 24 4" xfId="3406"/>
    <cellStyle name="60% - Accent1 24 5" xfId="3339"/>
    <cellStyle name="60% - Accent1 24 6" xfId="1731"/>
    <cellStyle name="60% - Accent1 24 7" xfId="3728"/>
    <cellStyle name="60% - Accent1 24 8" xfId="3913"/>
    <cellStyle name="60% - Accent1 25" xfId="1457"/>
    <cellStyle name="60% - Accent1 25 2" xfId="2652"/>
    <cellStyle name="60% - Accent1 25 3" xfId="2999"/>
    <cellStyle name="60% - Accent1 25 4" xfId="2300"/>
    <cellStyle name="60% - Accent1 25 5" xfId="1957"/>
    <cellStyle name="60% - Accent1 25 6" xfId="2439"/>
    <cellStyle name="60% - Accent1 25 7" xfId="3633"/>
    <cellStyle name="60% - Accent1 25 8" xfId="3828"/>
    <cellStyle name="60% - Accent1 26" xfId="1593"/>
    <cellStyle name="60% - Accent1 26 2" xfId="2771"/>
    <cellStyle name="60% - Accent1 26 3" xfId="3125"/>
    <cellStyle name="60% - Accent1 26 4" xfId="1783"/>
    <cellStyle name="60% - Accent1 26 5" xfId="3634"/>
    <cellStyle name="60% - Accent1 26 6" xfId="3829"/>
    <cellStyle name="60% - Accent1 26 7" xfId="3990"/>
    <cellStyle name="60% - Accent1 26 8" xfId="4113"/>
    <cellStyle name="60% - Accent1 27" xfId="1624"/>
    <cellStyle name="60% - Accent1 27 2" xfId="2801"/>
    <cellStyle name="60% - Accent1 27 3" xfId="3155"/>
    <cellStyle name="60% - Accent1 27 4" xfId="3476"/>
    <cellStyle name="60% - Accent1 27 5" xfId="3539"/>
    <cellStyle name="60% - Accent1 27 6" xfId="3745"/>
    <cellStyle name="60% - Accent1 27 7" xfId="3926"/>
    <cellStyle name="60% - Accent1 27 8" xfId="4075"/>
    <cellStyle name="60% - Accent1 28" xfId="1656"/>
    <cellStyle name="60% - Accent1 28 2" xfId="2828"/>
    <cellStyle name="60% - Accent1 28 3" xfId="3182"/>
    <cellStyle name="60% - Accent1 28 4" xfId="3470"/>
    <cellStyle name="60% - Accent1 28 5" xfId="2093"/>
    <cellStyle name="60% - Accent1 28 6" xfId="2021"/>
    <cellStyle name="60% - Accent1 28 7" xfId="3283"/>
    <cellStyle name="60% - Accent1 28 8" xfId="2121"/>
    <cellStyle name="60% - Accent1 29" xfId="1684"/>
    <cellStyle name="60% - Accent1 29 2" xfId="2851"/>
    <cellStyle name="60% - Accent1 29 3" xfId="3205"/>
    <cellStyle name="60% - Accent1 29 4" xfId="1758"/>
    <cellStyle name="60% - Accent1 29 5" xfId="3642"/>
    <cellStyle name="60% - Accent1 29 6" xfId="3835"/>
    <cellStyle name="60% - Accent1 29 7" xfId="3996"/>
    <cellStyle name="60% - Accent1 29 8" xfId="4118"/>
    <cellStyle name="60% - Accent1 3" xfId="182"/>
    <cellStyle name="60% - Accent1 30" xfId="1702"/>
    <cellStyle name="60% - Accent1 30 2" xfId="2866"/>
    <cellStyle name="60% - Accent1 30 3" xfId="3223"/>
    <cellStyle name="60% - Accent1 30 4" xfId="2299"/>
    <cellStyle name="60% - Accent1 30 5" xfId="2328"/>
    <cellStyle name="60% - Accent1 30 6" xfId="3648"/>
    <cellStyle name="60% - Accent1 30 7" xfId="3841"/>
    <cellStyle name="60% - Accent1 30 8" xfId="4002"/>
    <cellStyle name="60% - Accent1 4" xfId="442"/>
    <cellStyle name="60% - Accent1 5" xfId="629"/>
    <cellStyle name="60% - Accent1 6" xfId="668"/>
    <cellStyle name="60% - Accent1 7" xfId="708"/>
    <cellStyle name="60% - Accent1 8" xfId="748"/>
    <cellStyle name="60% - Accent1 9" xfId="786"/>
    <cellStyle name="60% - Accent2" xfId="14" builtinId="36" customBuiltin="1"/>
    <cellStyle name="60% - Accent2 10" xfId="824"/>
    <cellStyle name="60% - Accent2 11" xfId="858"/>
    <cellStyle name="60% - Accent2 12" xfId="892"/>
    <cellStyle name="60% - Accent2 13" xfId="922"/>
    <cellStyle name="60% - Accent2 14" xfId="946"/>
    <cellStyle name="60% - Accent2 15" xfId="961"/>
    <cellStyle name="60% - Accent2 16" xfId="995"/>
    <cellStyle name="60% - Accent2 17" xfId="1156"/>
    <cellStyle name="60% - Accent2 18" xfId="1192"/>
    <cellStyle name="60% - Accent2 19" xfId="1223"/>
    <cellStyle name="60% - Accent2 2" xfId="84"/>
    <cellStyle name="60% - Accent2 2 2" xfId="5723"/>
    <cellStyle name="60% - Accent2 20" xfId="1250"/>
    <cellStyle name="60% - Accent2 21" xfId="1274"/>
    <cellStyle name="60% - Accent2 22" xfId="1288"/>
    <cellStyle name="60% - Accent2 23" xfId="1537"/>
    <cellStyle name="60% - Accent2 23 2" xfId="2726"/>
    <cellStyle name="60% - Accent2 23 3" xfId="3075"/>
    <cellStyle name="60% - Accent2 23 4" xfId="1822"/>
    <cellStyle name="60% - Accent2 23 5" xfId="2228"/>
    <cellStyle name="60% - Accent2 23 6" xfId="3217"/>
    <cellStyle name="60% - Accent2 23 7" xfId="3523"/>
    <cellStyle name="60% - Accent2 23 8" xfId="3389"/>
    <cellStyle name="60% - Accent2 24" xfId="1485"/>
    <cellStyle name="60% - Accent2 24 2" xfId="2678"/>
    <cellStyle name="60% - Accent2 24 3" xfId="3026"/>
    <cellStyle name="60% - Accent2 24 4" xfId="2204"/>
    <cellStyle name="60% - Accent2 24 5" xfId="3315"/>
    <cellStyle name="60% - Accent2 24 6" xfId="3722"/>
    <cellStyle name="60% - Accent2 24 7" xfId="3907"/>
    <cellStyle name="60% - Accent2 24 8" xfId="4059"/>
    <cellStyle name="60% - Accent2 25" xfId="1503"/>
    <cellStyle name="60% - Accent2 25 2" xfId="2696"/>
    <cellStyle name="60% - Accent2 25 3" xfId="3044"/>
    <cellStyle name="60% - Accent2 25 4" xfId="2277"/>
    <cellStyle name="60% - Accent2 25 5" xfId="3567"/>
    <cellStyle name="60% - Accent2 25 6" xfId="3769"/>
    <cellStyle name="60% - Accent2 25 7" xfId="3945"/>
    <cellStyle name="60% - Accent2 25 8" xfId="4088"/>
    <cellStyle name="60% - Accent2 26" xfId="1597"/>
    <cellStyle name="60% - Accent2 26 2" xfId="2775"/>
    <cellStyle name="60% - Accent2 26 3" xfId="3129"/>
    <cellStyle name="60% - Accent2 26 4" xfId="3324"/>
    <cellStyle name="60% - Accent2 26 5" xfId="2373"/>
    <cellStyle name="60% - Accent2 26 6" xfId="2306"/>
    <cellStyle name="60% - Accent2 26 7" xfId="3525"/>
    <cellStyle name="60% - Accent2 26 8" xfId="3340"/>
    <cellStyle name="60% - Accent2 27" xfId="1629"/>
    <cellStyle name="60% - Accent2 27 2" xfId="2804"/>
    <cellStyle name="60% - Accent2 27 3" xfId="3158"/>
    <cellStyle name="60% - Accent2 27 4" xfId="3329"/>
    <cellStyle name="60% - Accent2 27 5" xfId="1909"/>
    <cellStyle name="60% - Accent2 27 6" xfId="1973"/>
    <cellStyle name="60% - Accent2 27 7" xfId="2050"/>
    <cellStyle name="60% - Accent2 27 8" xfId="2085"/>
    <cellStyle name="60% - Accent2 28" xfId="1659"/>
    <cellStyle name="60% - Accent2 28 2" xfId="2831"/>
    <cellStyle name="60% - Accent2 28 3" xfId="3185"/>
    <cellStyle name="60% - Accent2 28 4" xfId="3349"/>
    <cellStyle name="60% - Accent2 28 5" xfId="3383"/>
    <cellStyle name="60% - Accent2 28 6" xfId="1990"/>
    <cellStyle name="60% - Accent2 28 7" xfId="3620"/>
    <cellStyle name="60% - Accent2 28 8" xfId="3816"/>
    <cellStyle name="60% - Accent2 29" xfId="1687"/>
    <cellStyle name="60% - Accent2 29 2" xfId="2854"/>
    <cellStyle name="60% - Accent2 29 3" xfId="3208"/>
    <cellStyle name="60% - Accent2 29 4" xfId="3433"/>
    <cellStyle name="60% - Accent2 29 5" xfId="3616"/>
    <cellStyle name="60% - Accent2 29 6" xfId="3813"/>
    <cellStyle name="60% - Accent2 29 7" xfId="3978"/>
    <cellStyle name="60% - Accent2 29 8" xfId="4106"/>
    <cellStyle name="60% - Accent2 3" xfId="164"/>
    <cellStyle name="60% - Accent2 30" xfId="1705"/>
    <cellStyle name="60% - Accent2 30 2" xfId="2867"/>
    <cellStyle name="60% - Accent2 30 3" xfId="3224"/>
    <cellStyle name="60% - Accent2 30 4" xfId="1926"/>
    <cellStyle name="60% - Accent2 30 5" xfId="2166"/>
    <cellStyle name="60% - Accent2 30 6" xfId="1891"/>
    <cellStyle name="60% - Accent2 30 7" xfId="3475"/>
    <cellStyle name="60% - Accent2 30 8" xfId="2304"/>
    <cellStyle name="60% - Accent2 4" xfId="443"/>
    <cellStyle name="60% - Accent2 5" xfId="627"/>
    <cellStyle name="60% - Accent2 6" xfId="674"/>
    <cellStyle name="60% - Accent2 7" xfId="714"/>
    <cellStyle name="60% - Accent2 8" xfId="753"/>
    <cellStyle name="60% - Accent2 9" xfId="790"/>
    <cellStyle name="60% - Accent3" xfId="15" builtinId="40" customBuiltin="1"/>
    <cellStyle name="60% - Accent3 10" xfId="814"/>
    <cellStyle name="60% - Accent3 11" xfId="848"/>
    <cellStyle name="60% - Accent3 12" xfId="880"/>
    <cellStyle name="60% - Accent3 13" xfId="914"/>
    <cellStyle name="60% - Accent3 14" xfId="938"/>
    <cellStyle name="60% - Accent3 15" xfId="959"/>
    <cellStyle name="60% - Accent3 16" xfId="996"/>
    <cellStyle name="60% - Accent3 17" xfId="1154"/>
    <cellStyle name="60% - Accent3 18" xfId="1182"/>
    <cellStyle name="60% - Accent3 19" xfId="1213"/>
    <cellStyle name="60% - Accent3 2" xfId="85"/>
    <cellStyle name="60% - Accent3 2 2" xfId="5724"/>
    <cellStyle name="60% - Accent3 20" xfId="1243"/>
    <cellStyle name="60% - Accent3 21" xfId="1267"/>
    <cellStyle name="60% - Accent3 22" xfId="1286"/>
    <cellStyle name="60% - Accent3 23" xfId="1523"/>
    <cellStyle name="60% - Accent3 23 2" xfId="2715"/>
    <cellStyle name="60% - Accent3 23 3" xfId="3063"/>
    <cellStyle name="60% - Accent3 23 4" xfId="1792"/>
    <cellStyle name="60% - Accent3 23 5" xfId="1831"/>
    <cellStyle name="60% - Accent3 23 6" xfId="2411"/>
    <cellStyle name="60% - Accent3 23 7" xfId="3239"/>
    <cellStyle name="60% - Accent3 23 8" xfId="3518"/>
    <cellStyle name="60% - Accent3 24" xfId="1469"/>
    <cellStyle name="60% - Accent3 24 2" xfId="2663"/>
    <cellStyle name="60% - Accent3 24 3" xfId="3011"/>
    <cellStyle name="60% - Accent3 24 4" xfId="2159"/>
    <cellStyle name="60% - Accent3 24 5" xfId="2444"/>
    <cellStyle name="60% - Accent3 24 6" xfId="2075"/>
    <cellStyle name="60% - Accent3 24 7" xfId="2270"/>
    <cellStyle name="60% - Accent3 24 8" xfId="2491"/>
    <cellStyle name="60% - Accent3 25" xfId="1484"/>
    <cellStyle name="60% - Accent3 25 2" xfId="2677"/>
    <cellStyle name="60% - Accent3 25 3" xfId="3025"/>
    <cellStyle name="60% - Accent3 25 4" xfId="3421"/>
    <cellStyle name="60% - Accent3 25 5" xfId="1737"/>
    <cellStyle name="60% - Accent3 25 6" xfId="3241"/>
    <cellStyle name="60% - Accent3 25 7" xfId="2350"/>
    <cellStyle name="60% - Accent3 25 8" xfId="1911"/>
    <cellStyle name="60% - Accent3 26" xfId="1587"/>
    <cellStyle name="60% - Accent3 26 2" xfId="2765"/>
    <cellStyle name="60% - Accent3 26 3" xfId="3119"/>
    <cellStyle name="60% - Accent3 26 4" xfId="1854"/>
    <cellStyle name="60% - Accent3 26 5" xfId="1939"/>
    <cellStyle name="60% - Accent3 26 6" xfId="2288"/>
    <cellStyle name="60% - Accent3 26 7" xfId="3438"/>
    <cellStyle name="60% - Accent3 26 8" xfId="2314"/>
    <cellStyle name="60% - Accent3 27" xfId="1618"/>
    <cellStyle name="60% - Accent3 27 2" xfId="2795"/>
    <cellStyle name="60% - Accent3 27 3" xfId="3149"/>
    <cellStyle name="60% - Accent3 27 4" xfId="1796"/>
    <cellStyle name="60% - Accent3 27 5" xfId="3649"/>
    <cellStyle name="60% - Accent3 27 6" xfId="3842"/>
    <cellStyle name="60% - Accent3 27 7" xfId="4003"/>
    <cellStyle name="60% - Accent3 27 8" xfId="4122"/>
    <cellStyle name="60% - Accent3 28" xfId="1652"/>
    <cellStyle name="60% - Accent3 28 2" xfId="2824"/>
    <cellStyle name="60% - Accent3 28 3" xfId="3178"/>
    <cellStyle name="60% - Accent3 28 4" xfId="2090"/>
    <cellStyle name="60% - Accent3 28 5" xfId="3578"/>
    <cellStyle name="60% - Accent3 28 6" xfId="3780"/>
    <cellStyle name="60% - Accent3 28 7" xfId="3953"/>
    <cellStyle name="60% - Accent3 28 8" xfId="4094"/>
    <cellStyle name="60% - Accent3 29" xfId="1680"/>
    <cellStyle name="60% - Accent3 29 2" xfId="2848"/>
    <cellStyle name="60% - Accent3 29 3" xfId="3201"/>
    <cellStyle name="60% - Accent3 29 4" xfId="1775"/>
    <cellStyle name="60% - Accent3 29 5" xfId="1734"/>
    <cellStyle name="60% - Accent3 29 6" xfId="1863"/>
    <cellStyle name="60% - Accent3 29 7" xfId="1749"/>
    <cellStyle name="60% - Accent3 29 8" xfId="2011"/>
    <cellStyle name="60% - Accent3 3" xfId="186"/>
    <cellStyle name="60% - Accent3 30" xfId="1701"/>
    <cellStyle name="60% - Accent3 30 2" xfId="2865"/>
    <cellStyle name="60% - Accent3 30 3" xfId="3222"/>
    <cellStyle name="60% - Accent3 30 4" xfId="2286"/>
    <cellStyle name="60% - Accent3 30 5" xfId="3446"/>
    <cellStyle name="60% - Accent3 30 6" xfId="3346"/>
    <cellStyle name="60% - Accent3 30 7" xfId="2216"/>
    <cellStyle name="60% - Accent3 30 8" xfId="3566"/>
    <cellStyle name="60% - Accent3 4" xfId="444"/>
    <cellStyle name="60% - Accent3 5" xfId="625"/>
    <cellStyle name="60% - Accent3 6" xfId="661"/>
    <cellStyle name="60% - Accent3 7" xfId="701"/>
    <cellStyle name="60% - Accent3 8" xfId="741"/>
    <cellStyle name="60% - Accent3 9" xfId="780"/>
    <cellStyle name="60% - Accent4" xfId="16" builtinId="44" customBuiltin="1"/>
    <cellStyle name="60% - Accent4 10" xfId="735"/>
    <cellStyle name="60% - Accent4 11" xfId="774"/>
    <cellStyle name="60% - Accent4 12" xfId="809"/>
    <cellStyle name="60% - Accent4 13" xfId="843"/>
    <cellStyle name="60% - Accent4 14" xfId="875"/>
    <cellStyle name="60% - Accent4 15" xfId="910"/>
    <cellStyle name="60% - Accent4 16" xfId="997"/>
    <cellStyle name="60% - Accent4 17" xfId="1151"/>
    <cellStyle name="60% - Accent4 18" xfId="1059"/>
    <cellStyle name="60% - Accent4 19" xfId="1050"/>
    <cellStyle name="60% - Accent4 2" xfId="86"/>
    <cellStyle name="60% - Accent4 2 2" xfId="5725"/>
    <cellStyle name="60% - Accent4 20" xfId="1067"/>
    <cellStyle name="60% - Accent4 21" xfId="1208"/>
    <cellStyle name="60% - Accent4 22" xfId="1239"/>
    <cellStyle name="60% - Accent4 23" xfId="1520"/>
    <cellStyle name="60% - Accent4 23 2" xfId="2712"/>
    <cellStyle name="60% - Accent4 23 3" xfId="3060"/>
    <cellStyle name="60% - Accent4 23 4" xfId="2233"/>
    <cellStyle name="60% - Accent4 23 5" xfId="3478"/>
    <cellStyle name="60% - Accent4 23 6" xfId="2178"/>
    <cellStyle name="60% - Accent4 23 7" xfId="3114"/>
    <cellStyle name="60% - Accent4 23 8" xfId="2067"/>
    <cellStyle name="60% - Accent4 24" xfId="1337"/>
    <cellStyle name="60% - Accent4 24 2" xfId="2538"/>
    <cellStyle name="60% - Accent4 24 3" xfId="2886"/>
    <cellStyle name="60% - Accent4 24 4" xfId="2102"/>
    <cellStyle name="60% - Accent4 24 5" xfId="2361"/>
    <cellStyle name="60% - Accent4 24 6" xfId="3461"/>
    <cellStyle name="60% - Accent4 24 7" xfId="2241"/>
    <cellStyle name="60% - Accent4 24 8" xfId="1918"/>
    <cellStyle name="60% - Accent4 25" xfId="1388"/>
    <cellStyle name="60% - Accent4 25 2" xfId="2583"/>
    <cellStyle name="60% - Accent4 25 3" xfId="2932"/>
    <cellStyle name="60% - Accent4 25 4" xfId="2454"/>
    <cellStyle name="60% - Accent4 25 5" xfId="3626"/>
    <cellStyle name="60% - Accent4 25 6" xfId="3821"/>
    <cellStyle name="60% - Accent4 25 7" xfId="3983"/>
    <cellStyle name="60% - Accent4 25 8" xfId="4109"/>
    <cellStyle name="60% - Accent4 26" xfId="1396"/>
    <cellStyle name="60% - Accent4 26 2" xfId="2591"/>
    <cellStyle name="60% - Accent4 26 3" xfId="2940"/>
    <cellStyle name="60% - Accent4 26 4" xfId="3319"/>
    <cellStyle name="60% - Accent4 26 5" xfId="3473"/>
    <cellStyle name="60% - Accent4 26 6" xfId="2108"/>
    <cellStyle name="60% - Accent4 26 7" xfId="2327"/>
    <cellStyle name="60% - Accent4 26 8" xfId="1838"/>
    <cellStyle name="60% - Accent4 27" xfId="1380"/>
    <cellStyle name="60% - Accent4 27 2" xfId="2575"/>
    <cellStyle name="60% - Accent4 27 3" xfId="2924"/>
    <cellStyle name="60% - Accent4 27 4" xfId="2323"/>
    <cellStyle name="60% - Accent4 27 5" xfId="1941"/>
    <cellStyle name="60% - Accent4 27 6" xfId="2441"/>
    <cellStyle name="60% - Accent4 27 7" xfId="2353"/>
    <cellStyle name="60% - Accent4 27 8" xfId="3288"/>
    <cellStyle name="60% - Accent4 28" xfId="1432"/>
    <cellStyle name="60% - Accent4 28 2" xfId="2627"/>
    <cellStyle name="60% - Accent4 28 3" xfId="2974"/>
    <cellStyle name="60% - Accent4 28 4" xfId="2398"/>
    <cellStyle name="60% - Accent4 28 5" xfId="1869"/>
    <cellStyle name="60% - Accent4 28 6" xfId="3336"/>
    <cellStyle name="60% - Accent4 28 7" xfId="2065"/>
    <cellStyle name="60% - Accent4 28 8" xfId="2960"/>
    <cellStyle name="60% - Accent4 29" xfId="1614"/>
    <cellStyle name="60% - Accent4 29 2" xfId="2791"/>
    <cellStyle name="60% - Accent4 29 3" xfId="3145"/>
    <cellStyle name="60% - Accent4 29 4" xfId="2205"/>
    <cellStyle name="60% - Accent4 29 5" xfId="1767"/>
    <cellStyle name="60% - Accent4 29 6" xfId="3508"/>
    <cellStyle name="60% - Accent4 29 7" xfId="3686"/>
    <cellStyle name="60% - Accent4 29 8" xfId="3876"/>
    <cellStyle name="60% - Accent4 3" xfId="125"/>
    <cellStyle name="60% - Accent4 30" xfId="1647"/>
    <cellStyle name="60% - Accent4 30 2" xfId="2820"/>
    <cellStyle name="60% - Accent4 30 3" xfId="3174"/>
    <cellStyle name="60% - Accent4 30 4" xfId="2038"/>
    <cellStyle name="60% - Accent4 30 5" xfId="1769"/>
    <cellStyle name="60% - Accent4 30 6" xfId="1882"/>
    <cellStyle name="60% - Accent4 30 7" xfId="1703"/>
    <cellStyle name="60% - Accent4 30 8" xfId="3296"/>
    <cellStyle name="60% - Accent4 4" xfId="445"/>
    <cellStyle name="60% - Accent4 5" xfId="622"/>
    <cellStyle name="60% - Accent4 6" xfId="514"/>
    <cellStyle name="60% - Accent4 7" xfId="505"/>
    <cellStyle name="60% - Accent4 8" xfId="523"/>
    <cellStyle name="60% - Accent4 9" xfId="695"/>
    <cellStyle name="60% - Accent5" xfId="17" builtinId="48" customBuiltin="1"/>
    <cellStyle name="60% - Accent5 10" xfId="732"/>
    <cellStyle name="60% - Accent5 11" xfId="771"/>
    <cellStyle name="60% - Accent5 12" xfId="807"/>
    <cellStyle name="60% - Accent5 13" xfId="841"/>
    <cellStyle name="60% - Accent5 14" xfId="874"/>
    <cellStyle name="60% - Accent5 15" xfId="908"/>
    <cellStyle name="60% - Accent5 16" xfId="998"/>
    <cellStyle name="60% - Accent5 17" xfId="1150"/>
    <cellStyle name="60% - Accent5 18" xfId="1061"/>
    <cellStyle name="60% - Accent5 19" xfId="1047"/>
    <cellStyle name="60% - Accent5 2" xfId="87"/>
    <cellStyle name="60% - Accent5 2 2" xfId="5726"/>
    <cellStyle name="60% - Accent5 20" xfId="1070"/>
    <cellStyle name="60% - Accent5 21" xfId="1207"/>
    <cellStyle name="60% - Accent5 22" xfId="1238"/>
    <cellStyle name="60% - Accent5 23" xfId="1517"/>
    <cellStyle name="60% - Accent5 23 2" xfId="2709"/>
    <cellStyle name="60% - Accent5 23 3" xfId="3057"/>
    <cellStyle name="60% - Accent5 23 4" xfId="2215"/>
    <cellStyle name="60% - Accent5 23 5" xfId="2069"/>
    <cellStyle name="60% - Accent5 23 6" xfId="3233"/>
    <cellStyle name="60% - Accent5 23 7" xfId="3526"/>
    <cellStyle name="60% - Accent5 23 8" xfId="2271"/>
    <cellStyle name="60% - Accent5 24" xfId="1415"/>
    <cellStyle name="60% - Accent5 24 2" xfId="2610"/>
    <cellStyle name="60% - Accent5 24 3" xfId="2958"/>
    <cellStyle name="60% - Accent5 24 4" xfId="2490"/>
    <cellStyle name="60% - Accent5 24 5" xfId="3681"/>
    <cellStyle name="60% - Accent5 24 6" xfId="3872"/>
    <cellStyle name="60% - Accent5 24 7" xfId="4029"/>
    <cellStyle name="60% - Accent5 24 8" xfId="4141"/>
    <cellStyle name="60% - Accent5 25" xfId="1386"/>
    <cellStyle name="60% - Accent5 25 2" xfId="2581"/>
    <cellStyle name="60% - Accent5 25 3" xfId="2930"/>
    <cellStyle name="60% - Accent5 25 4" xfId="2025"/>
    <cellStyle name="60% - Accent5 25 5" xfId="3685"/>
    <cellStyle name="60% - Accent5 25 6" xfId="3875"/>
    <cellStyle name="60% - Accent5 25 7" xfId="4032"/>
    <cellStyle name="60% - Accent5 25 8" xfId="4142"/>
    <cellStyle name="60% - Accent5 26" xfId="1400"/>
    <cellStyle name="60% - Accent5 26 2" xfId="2595"/>
    <cellStyle name="60% - Accent5 26 3" xfId="2944"/>
    <cellStyle name="60% - Accent5 26 4" xfId="2408"/>
    <cellStyle name="60% - Accent5 26 5" xfId="3331"/>
    <cellStyle name="60% - Accent5 26 6" xfId="2331"/>
    <cellStyle name="60% - Accent5 26 7" xfId="1814"/>
    <cellStyle name="60% - Accent5 26 8" xfId="3267"/>
    <cellStyle name="60% - Accent5 27" xfId="1376"/>
    <cellStyle name="60% - Accent5 27 2" xfId="2571"/>
    <cellStyle name="60% - Accent5 27 3" xfId="2921"/>
    <cellStyle name="60% - Accent5 27 4" xfId="2185"/>
    <cellStyle name="60% - Accent5 27 5" xfId="1782"/>
    <cellStyle name="60% - Accent5 27 6" xfId="2243"/>
    <cellStyle name="60% - Accent5 27 7" xfId="2004"/>
    <cellStyle name="60% - Accent5 27 8" xfId="2401"/>
    <cellStyle name="60% - Accent5 28" xfId="1419"/>
    <cellStyle name="60% - Accent5 28 2" xfId="2614"/>
    <cellStyle name="60% - Accent5 28 3" xfId="2962"/>
    <cellStyle name="60% - Accent5 28 4" xfId="2197"/>
    <cellStyle name="60% - Accent5 28 5" xfId="1968"/>
    <cellStyle name="60% - Accent5 28 6" xfId="3234"/>
    <cellStyle name="60% - Accent5 28 7" xfId="2365"/>
    <cellStyle name="60% - Accent5 28 8" xfId="1779"/>
    <cellStyle name="60% - Accent5 29" xfId="1613"/>
    <cellStyle name="60% - Accent5 29 2" xfId="2790"/>
    <cellStyle name="60% - Accent5 29 3" xfId="3144"/>
    <cellStyle name="60% - Accent5 29 4" xfId="2403"/>
    <cellStyle name="60% - Accent5 29 5" xfId="3269"/>
    <cellStyle name="60% - Accent5 29 6" xfId="3516"/>
    <cellStyle name="60% - Accent5 29 7" xfId="1835"/>
    <cellStyle name="60% - Accent5 29 8" xfId="2436"/>
    <cellStyle name="60% - Accent5 3" xfId="193"/>
    <cellStyle name="60% - Accent5 30" xfId="1645"/>
    <cellStyle name="60% - Accent5 30 2" xfId="2819"/>
    <cellStyle name="60% - Accent5 30 3" xfId="3173"/>
    <cellStyle name="60% - Accent5 30 4" xfId="2302"/>
    <cellStyle name="60% - Accent5 30 5" xfId="3227"/>
    <cellStyle name="60% - Accent5 30 6" xfId="2321"/>
    <cellStyle name="60% - Accent5 30 7" xfId="2152"/>
    <cellStyle name="60% - Accent5 30 8" xfId="2209"/>
    <cellStyle name="60% - Accent5 4" xfId="446"/>
    <cellStyle name="60% - Accent5 5" xfId="621"/>
    <cellStyle name="60% - Accent5 6" xfId="516"/>
    <cellStyle name="60% - Accent5 7" xfId="501"/>
    <cellStyle name="60% - Accent5 8" xfId="527"/>
    <cellStyle name="60% - Accent5 9" xfId="692"/>
    <cellStyle name="60% - Accent6" xfId="18" builtinId="52" customBuiltin="1"/>
    <cellStyle name="60% - Accent6 10" xfId="806"/>
    <cellStyle name="60% - Accent6 11" xfId="840"/>
    <cellStyle name="60% - Accent6 12" xfId="873"/>
    <cellStyle name="60% - Accent6 13" xfId="907"/>
    <cellStyle name="60% - Accent6 14" xfId="935"/>
    <cellStyle name="60% - Accent6 15" xfId="956"/>
    <cellStyle name="60% - Accent6 16" xfId="999"/>
    <cellStyle name="60% - Accent6 17" xfId="1148"/>
    <cellStyle name="60% - Accent6 18" xfId="1065"/>
    <cellStyle name="60% - Accent6 19" xfId="1206"/>
    <cellStyle name="60% - Accent6 2" xfId="88"/>
    <cellStyle name="60% - Accent6 2 2" xfId="5727"/>
    <cellStyle name="60% - Accent6 20" xfId="1237"/>
    <cellStyle name="60% - Accent6 21" xfId="1263"/>
    <cellStyle name="60% - Accent6 22" xfId="1284"/>
    <cellStyle name="60% - Accent6 23" xfId="1513"/>
    <cellStyle name="60% - Accent6 23 2" xfId="2706"/>
    <cellStyle name="60% - Accent6 23 3" xfId="3054"/>
    <cellStyle name="60% - Accent6 23 4" xfId="3422"/>
    <cellStyle name="60% - Accent6 23 5" xfId="2244"/>
    <cellStyle name="60% - Accent6 23 6" xfId="3226"/>
    <cellStyle name="60% - Accent6 23 7" xfId="1960"/>
    <cellStyle name="60% - Accent6 23 8" xfId="2445"/>
    <cellStyle name="60% - Accent6 24" xfId="1423"/>
    <cellStyle name="60% - Accent6 24 2" xfId="2618"/>
    <cellStyle name="60% - Accent6 24 3" xfId="2966"/>
    <cellStyle name="60% - Accent6 24 4" xfId="3300"/>
    <cellStyle name="60% - Accent6 24 5" xfId="3323"/>
    <cellStyle name="60% - Accent6 24 6" xfId="2226"/>
    <cellStyle name="60% - Accent6 24 7" xfId="1985"/>
    <cellStyle name="60% - Accent6 24 8" xfId="2381"/>
    <cellStyle name="60% - Accent6 25" xfId="1383"/>
    <cellStyle name="60% - Accent6 25 2" xfId="2578"/>
    <cellStyle name="60% - Accent6 25 3" xfId="2927"/>
    <cellStyle name="60% - Accent6 25 4" xfId="1959"/>
    <cellStyle name="60% - Accent6 25 5" xfId="3724"/>
    <cellStyle name="60% - Accent6 25 6" xfId="3909"/>
    <cellStyle name="60% - Accent6 25 7" xfId="4061"/>
    <cellStyle name="60% - Accent6 25 8" xfId="4163"/>
    <cellStyle name="60% - Accent6 26" xfId="1433"/>
    <cellStyle name="60% - Accent6 26 2" xfId="2628"/>
    <cellStyle name="60% - Accent6 26 3" xfId="2975"/>
    <cellStyle name="60% - Accent6 26 4" xfId="2214"/>
    <cellStyle name="60% - Accent6 26 5" xfId="3416"/>
    <cellStyle name="60% - Accent6 26 6" xfId="2296"/>
    <cellStyle name="60% - Accent6 26 7" xfId="3392"/>
    <cellStyle name="60% - Accent6 26 8" xfId="1755"/>
    <cellStyle name="60% - Accent6 27" xfId="1612"/>
    <cellStyle name="60% - Accent6 27 2" xfId="2789"/>
    <cellStyle name="60% - Accent6 27 3" xfId="3143"/>
    <cellStyle name="60% - Accent6 27 4" xfId="2201"/>
    <cellStyle name="60% - Accent6 27 5" xfId="2073"/>
    <cellStyle name="60% - Accent6 27 6" xfId="2308"/>
    <cellStyle name="60% - Accent6 27 7" xfId="3237"/>
    <cellStyle name="60% - Accent6 27 8" xfId="3357"/>
    <cellStyle name="60% - Accent6 28" xfId="1644"/>
    <cellStyle name="60% - Accent6 28 2" xfId="2818"/>
    <cellStyle name="60% - Accent6 28 3" xfId="3172"/>
    <cellStyle name="60% - Accent6 28 4" xfId="2116"/>
    <cellStyle name="60% - Accent6 28 5" xfId="1934"/>
    <cellStyle name="60% - Accent6 28 6" xfId="2447"/>
    <cellStyle name="60% - Accent6 28 7" xfId="3587"/>
    <cellStyle name="60% - Accent6 28 8" xfId="3787"/>
    <cellStyle name="60% - Accent6 29" xfId="1674"/>
    <cellStyle name="60% - Accent6 29 2" xfId="2844"/>
    <cellStyle name="60% - Accent6 29 3" xfId="3198"/>
    <cellStyle name="60% - Accent6 29 4" xfId="1849"/>
    <cellStyle name="60% - Accent6 29 5" xfId="3235"/>
    <cellStyle name="60% - Accent6 29 6" xfId="1773"/>
    <cellStyle name="60% - Accent6 29 7" xfId="3429"/>
    <cellStyle name="60% - Accent6 29 8" xfId="3463"/>
    <cellStyle name="60% - Accent6 3" xfId="171"/>
    <cellStyle name="60% - Accent6 30" xfId="1699"/>
    <cellStyle name="60% - Accent6 30 2" xfId="2863"/>
    <cellStyle name="60% - Accent6 30 3" xfId="3220"/>
    <cellStyle name="60% - Accent6 30 4" xfId="2352"/>
    <cellStyle name="60% - Accent6 30 5" xfId="2358"/>
    <cellStyle name="60% - Accent6 30 6" xfId="2155"/>
    <cellStyle name="60% - Accent6 30 7" xfId="2420"/>
    <cellStyle name="60% - Accent6 30 8" xfId="3471"/>
    <cellStyle name="60% - Accent6 4" xfId="447"/>
    <cellStyle name="60% - Accent6 5" xfId="619"/>
    <cellStyle name="60% - Accent6 6" xfId="520"/>
    <cellStyle name="60% - Accent6 7" xfId="691"/>
    <cellStyle name="60% - Accent6 8" xfId="731"/>
    <cellStyle name="60% - Accent6 9" xfId="770"/>
    <cellStyle name="Accent1" xfId="19" builtinId="29" customBuiltin="1"/>
    <cellStyle name="Accent1 10" xfId="798"/>
    <cellStyle name="Accent1 11" xfId="832"/>
    <cellStyle name="Accent1 12" xfId="865"/>
    <cellStyle name="Accent1 13" xfId="899"/>
    <cellStyle name="Accent1 14" xfId="928"/>
    <cellStyle name="Accent1 15" xfId="952"/>
    <cellStyle name="Accent1 16" xfId="1000"/>
    <cellStyle name="Accent1 17" xfId="1147"/>
    <cellStyle name="Accent1 18" xfId="1066"/>
    <cellStyle name="Accent1 19" xfId="1199"/>
    <cellStyle name="Accent1 2" xfId="89"/>
    <cellStyle name="Accent1 2 2" xfId="5728"/>
    <cellStyle name="Accent1 20" xfId="1230"/>
    <cellStyle name="Accent1 21" xfId="1257"/>
    <cellStyle name="Accent1 22" xfId="1279"/>
    <cellStyle name="Accent1 23" xfId="1509"/>
    <cellStyle name="Accent1 23 2" xfId="2702"/>
    <cellStyle name="Accent1 23 3" xfId="3050"/>
    <cellStyle name="Accent1 23 4" xfId="3305"/>
    <cellStyle name="Accent1 23 5" xfId="1907"/>
    <cellStyle name="Accent1 23 6" xfId="3588"/>
    <cellStyle name="Accent1 23 7" xfId="3788"/>
    <cellStyle name="Accent1 23 8" xfId="3957"/>
    <cellStyle name="Accent1 24" xfId="1420"/>
    <cellStyle name="Accent1 24 2" xfId="2615"/>
    <cellStyle name="Accent1 24 3" xfId="2963"/>
    <cellStyle name="Accent1 24 4" xfId="3457"/>
    <cellStyle name="Accent1 24 5" xfId="1813"/>
    <cellStyle name="Accent1 24 6" xfId="2098"/>
    <cellStyle name="Accent1 24 7" xfId="2265"/>
    <cellStyle name="Accent1 24 8" xfId="1983"/>
    <cellStyle name="Accent1 25" xfId="1382"/>
    <cellStyle name="Accent1 25 2" xfId="2577"/>
    <cellStyle name="Accent1 25 3" xfId="2926"/>
    <cellStyle name="Accent1 25 4" xfId="2379"/>
    <cellStyle name="Accent1 25 5" xfId="2045"/>
    <cellStyle name="Accent1 25 6" xfId="1867"/>
    <cellStyle name="Accent1 25 7" xfId="1938"/>
    <cellStyle name="Accent1 25 8" xfId="2282"/>
    <cellStyle name="Accent1 26" xfId="1435"/>
    <cellStyle name="Accent1 26 2" xfId="2630"/>
    <cellStyle name="Accent1 26 3" xfId="2977"/>
    <cellStyle name="Accent1 26 4" xfId="2240"/>
    <cellStyle name="Accent1 26 5" xfId="1833"/>
    <cellStyle name="Accent1 26 6" xfId="3507"/>
    <cellStyle name="Accent1 26 7" xfId="3401"/>
    <cellStyle name="Accent1 26 8" xfId="1763"/>
    <cellStyle name="Accent1 27" xfId="1604"/>
    <cellStyle name="Accent1 27 2" xfId="2782"/>
    <cellStyle name="Accent1 27 3" xfId="3136"/>
    <cellStyle name="Accent1 27 4" xfId="1995"/>
    <cellStyle name="Accent1 27 5" xfId="3466"/>
    <cellStyle name="Accent1 27 6" xfId="3317"/>
    <cellStyle name="Accent1 27 7" xfId="2316"/>
    <cellStyle name="Accent1 27 8" xfId="2128"/>
    <cellStyle name="Accent1 28" xfId="1636"/>
    <cellStyle name="Accent1 28 2" xfId="2811"/>
    <cellStyle name="Accent1 28 3" xfId="3165"/>
    <cellStyle name="Accent1 28 4" xfId="2083"/>
    <cellStyle name="Accent1 28 5" xfId="1916"/>
    <cellStyle name="Accent1 28 6" xfId="3498"/>
    <cellStyle name="Accent1 28 7" xfId="3623"/>
    <cellStyle name="Accent1 28 8" xfId="3818"/>
    <cellStyle name="Accent1 29" xfId="1666"/>
    <cellStyle name="Accent1 29 2" xfId="2838"/>
    <cellStyle name="Accent1 29 3" xfId="3192"/>
    <cellStyle name="Accent1 29 4" xfId="2330"/>
    <cellStyle name="Accent1 29 5" xfId="2315"/>
    <cellStyle name="Accent1 29 6" xfId="3719"/>
    <cellStyle name="Accent1 29 7" xfId="3904"/>
    <cellStyle name="Accent1 29 8" xfId="4057"/>
    <cellStyle name="Accent1 3" xfId="194"/>
    <cellStyle name="Accent1 30" xfId="1693"/>
    <cellStyle name="Accent1 30 2" xfId="2859"/>
    <cellStyle name="Accent1 30 3" xfId="3214"/>
    <cellStyle name="Accent1 30 4" xfId="3291"/>
    <cellStyle name="Accent1 30 5" xfId="1367"/>
    <cellStyle name="Accent1 30 6" xfId="1979"/>
    <cellStyle name="Accent1 30 7" xfId="3727"/>
    <cellStyle name="Accent1 30 8" xfId="3912"/>
    <cellStyle name="Accent1 4" xfId="448"/>
    <cellStyle name="Accent1 5" xfId="618"/>
    <cellStyle name="Accent1 6" xfId="521"/>
    <cellStyle name="Accent1 7" xfId="683"/>
    <cellStyle name="Accent1 8" xfId="723"/>
    <cellStyle name="Accent1 9" xfId="762"/>
    <cellStyle name="Accent2" xfId="20" builtinId="33" customBuiltin="1"/>
    <cellStyle name="Accent2 10" xfId="800"/>
    <cellStyle name="Accent2 11" xfId="834"/>
    <cellStyle name="Accent2 12" xfId="867"/>
    <cellStyle name="Accent2 13" xfId="901"/>
    <cellStyle name="Accent2 14" xfId="930"/>
    <cellStyle name="Accent2 15" xfId="953"/>
    <cellStyle name="Accent2 16" xfId="1001"/>
    <cellStyle name="Accent2 17" xfId="1145"/>
    <cellStyle name="Accent2 18" xfId="1068"/>
    <cellStyle name="Accent2 19" xfId="1201"/>
    <cellStyle name="Accent2 2" xfId="90"/>
    <cellStyle name="Accent2 2 2" xfId="5729"/>
    <cellStyle name="Accent2 20" xfId="1232"/>
    <cellStyle name="Accent2 21" xfId="1259"/>
    <cellStyle name="Accent2 22" xfId="1280"/>
    <cellStyle name="Accent2 23" xfId="1504"/>
    <cellStyle name="Accent2 23 2" xfId="2697"/>
    <cellStyle name="Accent2 23 3" xfId="3045"/>
    <cellStyle name="Accent2 23 4" xfId="1901"/>
    <cellStyle name="Accent2 23 5" xfId="3654"/>
    <cellStyle name="Accent2 23 6" xfId="3847"/>
    <cellStyle name="Accent2 23 7" xfId="4007"/>
    <cellStyle name="Accent2 23 8" xfId="4125"/>
    <cellStyle name="Accent2 24" xfId="1430"/>
    <cellStyle name="Accent2 24 2" xfId="2625"/>
    <cellStyle name="Accent2 24 3" xfId="2972"/>
    <cellStyle name="Accent2 24 4" xfId="2088"/>
    <cellStyle name="Accent2 24 5" xfId="2139"/>
    <cellStyle name="Accent2 24 6" xfId="1928"/>
    <cellStyle name="Accent2 24 7" xfId="3720"/>
    <cellStyle name="Accent2 24 8" xfId="3905"/>
    <cellStyle name="Accent2 25" xfId="1379"/>
    <cellStyle name="Accent2 25 2" xfId="2574"/>
    <cellStyle name="Accent2 25 3" xfId="2923"/>
    <cellStyle name="Accent2 25 4" xfId="2130"/>
    <cellStyle name="Accent2 25 5" xfId="2017"/>
    <cellStyle name="Accent2 25 6" xfId="3038"/>
    <cellStyle name="Accent2 25 7" xfId="1790"/>
    <cellStyle name="Accent2 25 8" xfId="2020"/>
    <cellStyle name="Accent2 26" xfId="1445"/>
    <cellStyle name="Accent2 26 2" xfId="2640"/>
    <cellStyle name="Accent2 26 3" xfId="2987"/>
    <cellStyle name="Accent2 26 4" xfId="2409"/>
    <cellStyle name="Accent2 26 5" xfId="3656"/>
    <cellStyle name="Accent2 26 6" xfId="3849"/>
    <cellStyle name="Accent2 26 7" xfId="4009"/>
    <cellStyle name="Accent2 26 8" xfId="4127"/>
    <cellStyle name="Accent2 27" xfId="1606"/>
    <cellStyle name="Accent2 27 2" xfId="2784"/>
    <cellStyle name="Accent2 27 3" xfId="3138"/>
    <cellStyle name="Accent2 27 4" xfId="1738"/>
    <cellStyle name="Accent2 27 5" xfId="3238"/>
    <cellStyle name="Accent2 27 6" xfId="1752"/>
    <cellStyle name="Accent2 27 7" xfId="2170"/>
    <cellStyle name="Accent2 27 8" xfId="3562"/>
    <cellStyle name="Accent2 28" xfId="1638"/>
    <cellStyle name="Accent2 28 2" xfId="2813"/>
    <cellStyle name="Accent2 28 3" xfId="3167"/>
    <cellStyle name="Accent2 28 4" xfId="2117"/>
    <cellStyle name="Accent2 28 5" xfId="1834"/>
    <cellStyle name="Accent2 28 6" xfId="1858"/>
    <cellStyle name="Accent2 28 7" xfId="1727"/>
    <cellStyle name="Accent2 28 8" xfId="1784"/>
    <cellStyle name="Accent2 29" xfId="1668"/>
    <cellStyle name="Accent2 29 2" xfId="2840"/>
    <cellStyle name="Accent2 29 3" xfId="3194"/>
    <cellStyle name="Accent2 29 4" xfId="2412"/>
    <cellStyle name="Accent2 29 5" xfId="3426"/>
    <cellStyle name="Accent2 29 6" xfId="3374"/>
    <cellStyle name="Accent2 29 7" xfId="1516"/>
    <cellStyle name="Accent2 29 8" xfId="3670"/>
    <cellStyle name="Accent2 3" xfId="151"/>
    <cellStyle name="Accent2 30" xfId="1695"/>
    <cellStyle name="Accent2 30 2" xfId="2860"/>
    <cellStyle name="Accent2 30 3" xfId="3216"/>
    <cellStyle name="Accent2 30 4" xfId="3378"/>
    <cellStyle name="Accent2 30 5" xfId="3376"/>
    <cellStyle name="Accent2 30 6" xfId="2425"/>
    <cellStyle name="Accent2 30 7" xfId="3605"/>
    <cellStyle name="Accent2 30 8" xfId="3804"/>
    <cellStyle name="Accent2 4" xfId="449"/>
    <cellStyle name="Accent2 5" xfId="616"/>
    <cellStyle name="Accent2 6" xfId="524"/>
    <cellStyle name="Accent2 7" xfId="685"/>
    <cellStyle name="Accent2 8" xfId="725"/>
    <cellStyle name="Accent2 9" xfId="764"/>
    <cellStyle name="Accent3" xfId="21" builtinId="37" customBuiltin="1"/>
    <cellStyle name="Accent3 10" xfId="797"/>
    <cellStyle name="Accent3 11" xfId="831"/>
    <cellStyle name="Accent3 12" xfId="864"/>
    <cellStyle name="Accent3 13" xfId="898"/>
    <cellStyle name="Accent3 14" xfId="927"/>
    <cellStyle name="Accent3 15" xfId="951"/>
    <cellStyle name="Accent3 16" xfId="1002"/>
    <cellStyle name="Accent3 17" xfId="1143"/>
    <cellStyle name="Accent3 18" xfId="1069"/>
    <cellStyle name="Accent3 19" xfId="1198"/>
    <cellStyle name="Accent3 2" xfId="91"/>
    <cellStyle name="Accent3 2 2" xfId="5730"/>
    <cellStyle name="Accent3 20" xfId="1229"/>
    <cellStyle name="Accent3 21" xfId="1256"/>
    <cellStyle name="Accent3 22" xfId="1278"/>
    <cellStyle name="Accent3 23" xfId="1462"/>
    <cellStyle name="Accent3 23 2" xfId="2656"/>
    <cellStyle name="Accent3 23 3" xfId="3004"/>
    <cellStyle name="Accent3 23 4" xfId="2190"/>
    <cellStyle name="Accent3 23 5" xfId="3382"/>
    <cellStyle name="Accent3 23 6" xfId="3368"/>
    <cellStyle name="Accent3 23 7" xfId="1774"/>
    <cellStyle name="Accent3 23 8" xfId="3601"/>
    <cellStyle name="Accent3 24" xfId="1436"/>
    <cellStyle name="Accent3 24 2" xfId="2631"/>
    <cellStyle name="Accent3 24 3" xfId="2978"/>
    <cellStyle name="Accent3 24 4" xfId="2430"/>
    <cellStyle name="Accent3 24 5" xfId="1820"/>
    <cellStyle name="Accent3 24 6" xfId="1970"/>
    <cellStyle name="Accent3 24 7" xfId="2284"/>
    <cellStyle name="Accent3 24 8" xfId="2160"/>
    <cellStyle name="Accent3 25" xfId="1377"/>
    <cellStyle name="Accent3 25 2" xfId="2572"/>
    <cellStyle name="Accent3 25 3" xfId="2922"/>
    <cellStyle name="Accent3 25 4" xfId="1974"/>
    <cellStyle name="Accent3 25 5" xfId="1952"/>
    <cellStyle name="Accent3 25 6" xfId="1748"/>
    <cellStyle name="Accent3 25 7" xfId="3462"/>
    <cellStyle name="Accent3 25 8" xfId="3636"/>
    <cellStyle name="Accent3 26" xfId="1429"/>
    <cellStyle name="Accent3 26 2" xfId="2624"/>
    <cellStyle name="Accent3 26 3" xfId="2971"/>
    <cellStyle name="Accent3 26 4" xfId="2368"/>
    <cellStyle name="Accent3 26 5" xfId="2255"/>
    <cellStyle name="Accent3 26 6" xfId="1798"/>
    <cellStyle name="Accent3 26 7" xfId="3651"/>
    <cellStyle name="Accent3 26 8" xfId="3844"/>
    <cellStyle name="Accent3 27" xfId="1603"/>
    <cellStyle name="Accent3 27 2" xfId="2781"/>
    <cellStyle name="Accent3 27 3" xfId="3135"/>
    <cellStyle name="Accent3 27 4" xfId="2289"/>
    <cellStyle name="Accent3 27 5" xfId="2188"/>
    <cellStyle name="Accent3 27 6" xfId="3328"/>
    <cellStyle name="Accent3 27 7" xfId="1762"/>
    <cellStyle name="Accent3 27 8" xfId="1611"/>
    <cellStyle name="Accent3 28" xfId="1635"/>
    <cellStyle name="Accent3 28 2" xfId="2810"/>
    <cellStyle name="Accent3 28 3" xfId="3164"/>
    <cellStyle name="Accent3 28 4" xfId="2044"/>
    <cellStyle name="Accent3 28 5" xfId="2281"/>
    <cellStyle name="Accent3 28 6" xfId="2184"/>
    <cellStyle name="Accent3 28 7" xfId="1958"/>
    <cellStyle name="Accent3 28 8" xfId="1948"/>
    <cellStyle name="Accent3 29" xfId="1665"/>
    <cellStyle name="Accent3 29 2" xfId="2837"/>
    <cellStyle name="Accent3 29 3" xfId="3191"/>
    <cellStyle name="Accent3 29 4" xfId="2186"/>
    <cellStyle name="Accent3 29 5" xfId="2693"/>
    <cellStyle name="Accent3 29 6" xfId="3585"/>
    <cellStyle name="Accent3 29 7" xfId="3785"/>
    <cellStyle name="Accent3 29 8" xfId="3956"/>
    <cellStyle name="Accent3 3" xfId="158"/>
    <cellStyle name="Accent3 30" xfId="1692"/>
    <cellStyle name="Accent3 30 2" xfId="2858"/>
    <cellStyle name="Accent3 30 3" xfId="3213"/>
    <cellStyle name="Accent3 30 4" xfId="3424"/>
    <cellStyle name="Accent3 30 5" xfId="1771"/>
    <cellStyle name="Accent3 30 6" xfId="3573"/>
    <cellStyle name="Accent3 30 7" xfId="3775"/>
    <cellStyle name="Accent3 30 8" xfId="3951"/>
    <cellStyle name="Accent3 4" xfId="450"/>
    <cellStyle name="Accent3 5" xfId="615"/>
    <cellStyle name="Accent3 6" xfId="526"/>
    <cellStyle name="Accent3 7" xfId="682"/>
    <cellStyle name="Accent3 8" xfId="722"/>
    <cellStyle name="Accent3 9" xfId="761"/>
    <cellStyle name="Accent4" xfId="22" builtinId="41" customBuiltin="1"/>
    <cellStyle name="Accent4 10" xfId="803"/>
    <cellStyle name="Accent4 11" xfId="837"/>
    <cellStyle name="Accent4 12" xfId="870"/>
    <cellStyle name="Accent4 13" xfId="904"/>
    <cellStyle name="Accent4 14" xfId="932"/>
    <cellStyle name="Accent4 15" xfId="954"/>
    <cellStyle name="Accent4 16" xfId="1003"/>
    <cellStyle name="Accent4 17" xfId="1040"/>
    <cellStyle name="Accent4 18" xfId="1081"/>
    <cellStyle name="Accent4 19" xfId="1204"/>
    <cellStyle name="Accent4 2" xfId="92"/>
    <cellStyle name="Accent4 2 2" xfId="5731"/>
    <cellStyle name="Accent4 20" xfId="1235"/>
    <cellStyle name="Accent4 21" xfId="1261"/>
    <cellStyle name="Accent4 22" xfId="1282"/>
    <cellStyle name="Accent4 23" xfId="1489"/>
    <cellStyle name="Accent4 23 2" xfId="2682"/>
    <cellStyle name="Accent4 23 3" xfId="3030"/>
    <cellStyle name="Accent4 23 4" xfId="2290"/>
    <cellStyle name="Accent4 23 5" xfId="2349"/>
    <cellStyle name="Accent4 23 6" xfId="3112"/>
    <cellStyle name="Accent4 23 7" xfId="3514"/>
    <cellStyle name="Accent4 23 8" xfId="2096"/>
    <cellStyle name="Accent4 24" xfId="1413"/>
    <cellStyle name="Accent4 24 2" xfId="2608"/>
    <cellStyle name="Accent4 24 3" xfId="2956"/>
    <cellStyle name="Accent4 24 4" xfId="2191"/>
    <cellStyle name="Accent4 24 5" xfId="3711"/>
    <cellStyle name="Accent4 24 6" xfId="3897"/>
    <cellStyle name="Accent4 24 7" xfId="4051"/>
    <cellStyle name="Accent4 24 8" xfId="4158"/>
    <cellStyle name="Accent4 25" xfId="1362"/>
    <cellStyle name="Accent4 25 2" xfId="2560"/>
    <cellStyle name="Accent4 25 3" xfId="2910"/>
    <cellStyle name="Accent4 25 4" xfId="3391"/>
    <cellStyle name="Accent4 25 5" xfId="1803"/>
    <cellStyle name="Accent4 25 6" xfId="2182"/>
    <cellStyle name="Accent4 25 7" xfId="1725"/>
    <cellStyle name="Accent4 25 8" xfId="3301"/>
    <cellStyle name="Accent4 26" xfId="1452"/>
    <cellStyle name="Accent4 26 2" xfId="2647"/>
    <cellStyle name="Accent4 26 3" xfId="2994"/>
    <cellStyle name="Accent4 26 4" xfId="3395"/>
    <cellStyle name="Accent4 26 5" xfId="2064"/>
    <cellStyle name="Accent4 26 6" xfId="3664"/>
    <cellStyle name="Accent4 26 7" xfId="3857"/>
    <cellStyle name="Accent4 26 8" xfId="4017"/>
    <cellStyle name="Accent4 27" xfId="1609"/>
    <cellStyle name="Accent4 27 2" xfId="2787"/>
    <cellStyle name="Accent4 27 3" xfId="3141"/>
    <cellStyle name="Accent4 27 4" xfId="1965"/>
    <cellStyle name="Accent4 27 5" xfId="2394"/>
    <cellStyle name="Accent4 27 6" xfId="2383"/>
    <cellStyle name="Accent4 27 7" xfId="3229"/>
    <cellStyle name="Accent4 27 8" xfId="3519"/>
    <cellStyle name="Accent4 28" xfId="1642"/>
    <cellStyle name="Accent4 28 2" xfId="2816"/>
    <cellStyle name="Accent4 28 3" xfId="3170"/>
    <cellStyle name="Accent4 28 4" xfId="2137"/>
    <cellStyle name="Accent4 28 5" xfId="1865"/>
    <cellStyle name="Accent4 28 6" xfId="3506"/>
    <cellStyle name="Accent4 28 7" xfId="3258"/>
    <cellStyle name="Accent4 28 8" xfId="3503"/>
    <cellStyle name="Accent4 29" xfId="1671"/>
    <cellStyle name="Accent4 29 2" xfId="2842"/>
    <cellStyle name="Accent4 29 3" xfId="3196"/>
    <cellStyle name="Accent4 29 4" xfId="1751"/>
    <cellStyle name="Accent4 29 5" xfId="2122"/>
    <cellStyle name="Accent4 29 6" xfId="2389"/>
    <cellStyle name="Accent4 29 7" xfId="2052"/>
    <cellStyle name="Accent4 29 8" xfId="1840"/>
    <cellStyle name="Accent4 3" xfId="165"/>
    <cellStyle name="Accent4 30" xfId="1697"/>
    <cellStyle name="Accent4 30 2" xfId="2861"/>
    <cellStyle name="Accent4 30 3" xfId="3218"/>
    <cellStyle name="Accent4 30 4" xfId="1712"/>
    <cellStyle name="Accent4 30 5" xfId="2605"/>
    <cellStyle name="Accent4 30 6" xfId="3624"/>
    <cellStyle name="Accent4 30 7" xfId="3819"/>
    <cellStyle name="Accent4 30 8" xfId="3981"/>
    <cellStyle name="Accent4 4" xfId="451"/>
    <cellStyle name="Accent4 5" xfId="491"/>
    <cellStyle name="Accent4 6" xfId="544"/>
    <cellStyle name="Accent4 7" xfId="688"/>
    <cellStyle name="Accent4 8" xfId="728"/>
    <cellStyle name="Accent4 9" xfId="767"/>
    <cellStyle name="Accent5" xfId="23" builtinId="45" customBuiltin="1"/>
    <cellStyle name="Accent5 10" xfId="623"/>
    <cellStyle name="Accent5 11" xfId="675"/>
    <cellStyle name="Accent5 12" xfId="715"/>
    <cellStyle name="Accent5 13" xfId="754"/>
    <cellStyle name="Accent5 14" xfId="791"/>
    <cellStyle name="Accent5 15" xfId="825"/>
    <cellStyle name="Accent5 16" xfId="1004"/>
    <cellStyle name="Accent5 17" xfId="1141"/>
    <cellStyle name="Accent5 18" xfId="1173"/>
    <cellStyle name="Accent5 19" xfId="1120"/>
    <cellStyle name="Accent5 2" xfId="93"/>
    <cellStyle name="Accent5 2 2" xfId="5732"/>
    <cellStyle name="Accent5 20" xfId="1058"/>
    <cellStyle name="Accent5 21" xfId="1052"/>
    <cellStyle name="Accent5 22" xfId="1062"/>
    <cellStyle name="Accent5 23" xfId="1468"/>
    <cellStyle name="Accent5 23 2" xfId="2662"/>
    <cellStyle name="Accent5 23 3" xfId="3010"/>
    <cellStyle name="Accent5 23 4" xfId="2338"/>
    <cellStyle name="Accent5 23 5" xfId="3729"/>
    <cellStyle name="Accent5 23 6" xfId="3914"/>
    <cellStyle name="Accent5 23 7" xfId="4064"/>
    <cellStyle name="Accent5 23 8" xfId="4164"/>
    <cellStyle name="Accent5 24" xfId="1444"/>
    <cellStyle name="Accent5 24 2" xfId="2639"/>
    <cellStyle name="Accent5 24 3" xfId="2986"/>
    <cellStyle name="Accent5 24 4" xfId="2237"/>
    <cellStyle name="Accent5 24 5" xfId="3641"/>
    <cellStyle name="Accent5 24 6" xfId="3834"/>
    <cellStyle name="Accent5 24 7" xfId="3995"/>
    <cellStyle name="Accent5 24 8" xfId="4117"/>
    <cellStyle name="Accent5 25" xfId="1405"/>
    <cellStyle name="Accent5 25 2" xfId="2600"/>
    <cellStyle name="Accent5 25 3" xfId="2949"/>
    <cellStyle name="Accent5 25 4" xfId="2210"/>
    <cellStyle name="Accent5 25 5" xfId="2231"/>
    <cellStyle name="Accent5 25 6" xfId="2268"/>
    <cellStyle name="Accent5 25 7" xfId="3504"/>
    <cellStyle name="Accent5 25 8" xfId="3415"/>
    <cellStyle name="Accent5 26" xfId="1527"/>
    <cellStyle name="Accent5 26 2" xfId="2717"/>
    <cellStyle name="Accent5 26 3" xfId="3066"/>
    <cellStyle name="Accent5 26 4" xfId="2247"/>
    <cellStyle name="Accent5 26 5" xfId="3602"/>
    <cellStyle name="Accent5 26 6" xfId="3801"/>
    <cellStyle name="Accent5 26 7" xfId="3970"/>
    <cellStyle name="Accent5 26 8" xfId="4101"/>
    <cellStyle name="Accent5 27" xfId="1389"/>
    <cellStyle name="Accent5 27 2" xfId="2584"/>
    <cellStyle name="Accent5 27 3" xfId="2933"/>
    <cellStyle name="Accent5 27 4" xfId="3486"/>
    <cellStyle name="Accent5 27 5" xfId="3652"/>
    <cellStyle name="Accent5 27 6" xfId="3845"/>
    <cellStyle name="Accent5 27 7" xfId="4005"/>
    <cellStyle name="Accent5 27 8" xfId="4124"/>
    <cellStyle name="Accent5 28" xfId="1394"/>
    <cellStyle name="Accent5 28 2" xfId="2589"/>
    <cellStyle name="Accent5 28 3" xfId="2938"/>
    <cellStyle name="Accent5 28 4" xfId="3338"/>
    <cellStyle name="Accent5 28 5" xfId="2319"/>
    <cellStyle name="Accent5 28 6" xfId="2742"/>
    <cellStyle name="Accent5 28 7" xfId="3680"/>
    <cellStyle name="Accent5 28 8" xfId="3871"/>
    <cellStyle name="Accent5 29" xfId="1328"/>
    <cellStyle name="Accent5 29 2" xfId="2529"/>
    <cellStyle name="Accent5 29 3" xfId="2878"/>
    <cellStyle name="Accent5 29 4" xfId="3487"/>
    <cellStyle name="Accent5 29 5" xfId="3643"/>
    <cellStyle name="Accent5 29 6" xfId="3836"/>
    <cellStyle name="Accent5 29 7" xfId="3997"/>
    <cellStyle name="Accent5 29 8" xfId="4119"/>
    <cellStyle name="Accent5 3" xfId="172"/>
    <cellStyle name="Accent5 30" xfId="1329"/>
    <cellStyle name="Accent5 30 2" xfId="2530"/>
    <cellStyle name="Accent5 30 3" xfId="2879"/>
    <cellStyle name="Accent5 30 4" xfId="1819"/>
    <cellStyle name="Accent5 30 5" xfId="2167"/>
    <cellStyle name="Accent5 30 6" xfId="3556"/>
    <cellStyle name="Accent5 30 7" xfId="3760"/>
    <cellStyle name="Accent5 30 8" xfId="3937"/>
    <cellStyle name="Accent5 4" xfId="452"/>
    <cellStyle name="Accent5 5" xfId="613"/>
    <cellStyle name="Accent5 6" xfId="648"/>
    <cellStyle name="Accent5 7" xfId="532"/>
    <cellStyle name="Accent5 8" xfId="570"/>
    <cellStyle name="Accent5 9" xfId="646"/>
    <cellStyle name="Accent6" xfId="24" builtinId="49" customBuiltin="1"/>
    <cellStyle name="Accent6 10" xfId="789"/>
    <cellStyle name="Accent6 11" xfId="823"/>
    <cellStyle name="Accent6 12" xfId="857"/>
    <cellStyle name="Accent6 13" xfId="890"/>
    <cellStyle name="Accent6 14" xfId="921"/>
    <cellStyle name="Accent6 15" xfId="944"/>
    <cellStyle name="Accent6 16" xfId="1005"/>
    <cellStyle name="Accent6 17" xfId="1140"/>
    <cellStyle name="Accent6 18" xfId="1071"/>
    <cellStyle name="Accent6 19" xfId="1190"/>
    <cellStyle name="Accent6 2" xfId="94"/>
    <cellStyle name="Accent6 2 2" xfId="5733"/>
    <cellStyle name="Accent6 20" xfId="1221"/>
    <cellStyle name="Accent6 21" xfId="1249"/>
    <cellStyle name="Accent6 22" xfId="1273"/>
    <cellStyle name="Accent6 23" xfId="1481"/>
    <cellStyle name="Accent6 23 2" xfId="2674"/>
    <cellStyle name="Accent6 23 3" xfId="3022"/>
    <cellStyle name="Accent6 23 4" xfId="3292"/>
    <cellStyle name="Accent6 23 5" xfId="2010"/>
    <cellStyle name="Accent6 23 6" xfId="3064"/>
    <cellStyle name="Accent6 23 7" xfId="2320"/>
    <cellStyle name="Accent6 23 8" xfId="3674"/>
    <cellStyle name="Accent6 24" xfId="1439"/>
    <cellStyle name="Accent6 24 2" xfId="2634"/>
    <cellStyle name="Accent6 24 3" xfId="2981"/>
    <cellStyle name="Accent6 24 4" xfId="2367"/>
    <cellStyle name="Accent6 24 5" xfId="3701"/>
    <cellStyle name="Accent6 24 6" xfId="3889"/>
    <cellStyle name="Accent6 24 7" xfId="4043"/>
    <cellStyle name="Accent6 24 8" xfId="4152"/>
    <cellStyle name="Accent6 25" xfId="1375"/>
    <cellStyle name="Accent6 25 2" xfId="2570"/>
    <cellStyle name="Accent6 25 3" xfId="2920"/>
    <cellStyle name="Accent6 25 4" xfId="2259"/>
    <cellStyle name="Accent6 25 5" xfId="3482"/>
    <cellStyle name="Accent6 25 6" xfId="3294"/>
    <cellStyle name="Accent6 25 7" xfId="2008"/>
    <cellStyle name="Accent6 25 8" xfId="1877"/>
    <cellStyle name="Accent6 26" xfId="1512"/>
    <cellStyle name="Accent6 26 2" xfId="2705"/>
    <cellStyle name="Accent6 26 3" xfId="3053"/>
    <cellStyle name="Accent6 26 4" xfId="3379"/>
    <cellStyle name="Accent6 26 5" xfId="3298"/>
    <cellStyle name="Accent6 26 6" xfId="2089"/>
    <cellStyle name="Accent6 26 7" xfId="2142"/>
    <cellStyle name="Accent6 26 8" xfId="3499"/>
    <cellStyle name="Accent6 27" xfId="1595"/>
    <cellStyle name="Accent6 27 2" xfId="2773"/>
    <cellStyle name="Accent6 27 3" xfId="3127"/>
    <cellStyle name="Accent6 27 4" xfId="2845"/>
    <cellStyle name="Accent6 27 5" xfId="2147"/>
    <cellStyle name="Accent6 27 6" xfId="2224"/>
    <cellStyle name="Accent6 27 7" xfId="2298"/>
    <cellStyle name="Accent6 27 8" xfId="1809"/>
    <cellStyle name="Accent6 28" xfId="1627"/>
    <cellStyle name="Accent6 28 2" xfId="2803"/>
    <cellStyle name="Accent6 28 3" xfId="3157"/>
    <cellStyle name="Accent6 28 4" xfId="3441"/>
    <cellStyle name="Accent6 28 5" xfId="3472"/>
    <cellStyle name="Accent6 28 6" xfId="3394"/>
    <cellStyle name="Accent6 28 7" xfId="2055"/>
    <cellStyle name="Accent6 28 8" xfId="3203"/>
    <cellStyle name="Accent6 29" xfId="1658"/>
    <cellStyle name="Accent6 29 2" xfId="2830"/>
    <cellStyle name="Accent6 29 3" xfId="3184"/>
    <cellStyle name="Accent6 29 4" xfId="3435"/>
    <cellStyle name="Accent6 29 5" xfId="1893"/>
    <cellStyle name="Accent6 29 6" xfId="1825"/>
    <cellStyle name="Accent6 29 7" xfId="3511"/>
    <cellStyle name="Accent6 29 8" xfId="2369"/>
    <cellStyle name="Accent6 3" xfId="179"/>
    <cellStyle name="Accent6 30" xfId="1686"/>
    <cellStyle name="Accent6 30 2" xfId="2853"/>
    <cellStyle name="Accent6 30 3" xfId="3207"/>
    <cellStyle name="Accent6 30 4" xfId="1806"/>
    <cellStyle name="Accent6 30 5" xfId="3614"/>
    <cellStyle name="Accent6 30 6" xfId="3811"/>
    <cellStyle name="Accent6 30 7" xfId="3976"/>
    <cellStyle name="Accent6 30 8" xfId="4105"/>
    <cellStyle name="Accent6 4" xfId="453"/>
    <cellStyle name="Accent6 5" xfId="611"/>
    <cellStyle name="Accent6 6" xfId="528"/>
    <cellStyle name="Accent6 7" xfId="672"/>
    <cellStyle name="Accent6 8" xfId="712"/>
    <cellStyle name="Accent6 9" xfId="751"/>
    <cellStyle name="Bad" xfId="25" builtinId="27" customBuiltin="1"/>
    <cellStyle name="Bad 10" xfId="564"/>
    <cellStyle name="Bad 11" xfId="652"/>
    <cellStyle name="Bad 12" xfId="582"/>
    <cellStyle name="Bad 13" xfId="610"/>
    <cellStyle name="Bad 14" xfId="530"/>
    <cellStyle name="Bad 15" xfId="657"/>
    <cellStyle name="Bad 16" xfId="1006"/>
    <cellStyle name="Bad 17" xfId="1138"/>
    <cellStyle name="Bad 18" xfId="1076"/>
    <cellStyle name="Bad 19" xfId="1166"/>
    <cellStyle name="Bad 2" xfId="95"/>
    <cellStyle name="Bad 2 2" xfId="5734"/>
    <cellStyle name="Bad 20" xfId="1055"/>
    <cellStyle name="Bad 21" xfId="1030"/>
    <cellStyle name="Bad 22" xfId="1097"/>
    <cellStyle name="Bad 23" xfId="1474"/>
    <cellStyle name="Bad 23 2" xfId="2668"/>
    <cellStyle name="Bad 23 3" xfId="3016"/>
    <cellStyle name="Bad 23 4" xfId="1735"/>
    <cellStyle name="Bad 23 5" xfId="3548"/>
    <cellStyle name="Bad 23 6" xfId="3754"/>
    <cellStyle name="Bad 23 7" xfId="3931"/>
    <cellStyle name="Bad 23 8" xfId="4078"/>
    <cellStyle name="Bad 24" xfId="1449"/>
    <cellStyle name="Bad 24 2" xfId="2644"/>
    <cellStyle name="Bad 24 3" xfId="2991"/>
    <cellStyle name="Bad 24 4" xfId="3402"/>
    <cellStyle name="Bad 24 5" xfId="1988"/>
    <cellStyle name="Bad 24 6" xfId="2230"/>
    <cellStyle name="Bad 24 7" xfId="2135"/>
    <cellStyle name="Bad 24 8" xfId="3619"/>
    <cellStyle name="Bad 25" xfId="1369"/>
    <cellStyle name="Bad 25 2" xfId="2565"/>
    <cellStyle name="Bad 25 3" xfId="2915"/>
    <cellStyle name="Bad 25 4" xfId="2324"/>
    <cellStyle name="Bad 25 5" xfId="1726"/>
    <cellStyle name="Bad 25 6" xfId="1848"/>
    <cellStyle name="Bad 25 7" xfId="1823"/>
    <cellStyle name="Bad 25 8" xfId="2103"/>
    <cellStyle name="Bad 26" xfId="1492"/>
    <cellStyle name="Bad 26 2" xfId="2685"/>
    <cellStyle name="Bad 26 3" xfId="3033"/>
    <cellStyle name="Bad 26 4" xfId="2303"/>
    <cellStyle name="Bad 26 5" xfId="2058"/>
    <cellStyle name="Bad 26 6" xfId="2431"/>
    <cellStyle name="Bad 26 7" xfId="3274"/>
    <cellStyle name="Bad 26 8" xfId="3289"/>
    <cellStyle name="Bad 27" xfId="1392"/>
    <cellStyle name="Bad 27 2" xfId="2587"/>
    <cellStyle name="Bad 27 3" xfId="2936"/>
    <cellStyle name="Bad 27 4" xfId="3460"/>
    <cellStyle name="Bad 27 5" xfId="1373"/>
    <cellStyle name="Bad 27 6" xfId="1800"/>
    <cellStyle name="Bad 27 7" xfId="1837"/>
    <cellStyle name="Bad 27 8" xfId="2437"/>
    <cellStyle name="Bad 28" xfId="1544"/>
    <cellStyle name="Bad 28 2" xfId="2733"/>
    <cellStyle name="Bad 28 3" xfId="3082"/>
    <cellStyle name="Bad 28 4" xfId="3280"/>
    <cellStyle name="Bad 28 5" xfId="2399"/>
    <cellStyle name="Bad 28 6" xfId="3265"/>
    <cellStyle name="Bad 28 7" xfId="1747"/>
    <cellStyle name="Bad 28 8" xfId="3736"/>
    <cellStyle name="Bad 29" xfId="1345"/>
    <cellStyle name="Bad 29 2" xfId="2544"/>
    <cellStyle name="Bad 29 3" xfId="2893"/>
    <cellStyle name="Bad 29 4" xfId="2032"/>
    <cellStyle name="Bad 29 5" xfId="2395"/>
    <cellStyle name="Bad 29 6" xfId="1821"/>
    <cellStyle name="Bad 29 7" xfId="3545"/>
    <cellStyle name="Bad 29 8" xfId="3751"/>
    <cellStyle name="Bad 3" xfId="187"/>
    <cellStyle name="Bad 30" xfId="1443"/>
    <cellStyle name="Bad 30 2" xfId="2638"/>
    <cellStyle name="Bad 30 3" xfId="2985"/>
    <cellStyle name="Bad 30 4" xfId="1772"/>
    <cellStyle name="Bad 30 5" xfId="3530"/>
    <cellStyle name="Bad 30 6" xfId="3738"/>
    <cellStyle name="Bad 30 7" xfId="3921"/>
    <cellStyle name="Bad 30 8" xfId="4070"/>
    <cellStyle name="Bad 4" xfId="454"/>
    <cellStyle name="Bad 5" xfId="608"/>
    <cellStyle name="Bad 6" xfId="535"/>
    <cellStyle name="Bad 7" xfId="640"/>
    <cellStyle name="Bad 8" xfId="464"/>
    <cellStyle name="Bad 9" xfId="592"/>
    <cellStyle name="Calculation" xfId="26" builtinId="22" customBuiltin="1"/>
    <cellStyle name="Calculation 10" xfId="651"/>
    <cellStyle name="Calculation 11" xfId="584"/>
    <cellStyle name="Calculation 12" xfId="607"/>
    <cellStyle name="Calculation 13" xfId="536"/>
    <cellStyle name="Calculation 14" xfId="633"/>
    <cellStyle name="Calculation 15" xfId="504"/>
    <cellStyle name="Calculation 16" xfId="1007"/>
    <cellStyle name="Calculation 17" xfId="1136"/>
    <cellStyle name="Calculation 18" xfId="1077"/>
    <cellStyle name="Calculation 19" xfId="1163"/>
    <cellStyle name="Calculation 2" xfId="96"/>
    <cellStyle name="Calculation 2 2" xfId="5735"/>
    <cellStyle name="Calculation 20" xfId="1045"/>
    <cellStyle name="Calculation 21" xfId="1074"/>
    <cellStyle name="Calculation 22" xfId="1175"/>
    <cellStyle name="Calculation 23" xfId="1455"/>
    <cellStyle name="Calculation 23 2" xfId="2650"/>
    <cellStyle name="Calculation 23 3" xfId="2997"/>
    <cellStyle name="Calculation 23 4" xfId="3420"/>
    <cellStyle name="Calculation 23 5" xfId="1964"/>
    <cellStyle name="Calculation 23 6" xfId="1868"/>
    <cellStyle name="Calculation 23 7" xfId="3250"/>
    <cellStyle name="Calculation 23 8" xfId="2348"/>
    <cellStyle name="Calculation 24" xfId="1450"/>
    <cellStyle name="Calculation 24 2" xfId="2645"/>
    <cellStyle name="Calculation 24 3" xfId="2992"/>
    <cellStyle name="Calculation 24 4" xfId="3413"/>
    <cellStyle name="Calculation 24 5" xfId="2305"/>
    <cellStyle name="Calculation 24 6" xfId="3723"/>
    <cellStyle name="Calculation 24 7" xfId="3908"/>
    <cellStyle name="Calculation 24 8" xfId="4060"/>
    <cellStyle name="Calculation 25" xfId="1366"/>
    <cellStyle name="Calculation 25 2" xfId="2564"/>
    <cellStyle name="Calculation 25 3" xfId="2914"/>
    <cellStyle name="Calculation 25 4" xfId="2120"/>
    <cellStyle name="Calculation 25 5" xfId="3355"/>
    <cellStyle name="Calculation 25 6" xfId="3682"/>
    <cellStyle name="Calculation 25 7" xfId="3873"/>
    <cellStyle name="Calculation 25 8" xfId="4030"/>
    <cellStyle name="Calculation 26" xfId="1553"/>
    <cellStyle name="Calculation 26 2" xfId="2741"/>
    <cellStyle name="Calculation 26 3" xfId="3090"/>
    <cellStyle name="Calculation 26 4" xfId="2057"/>
    <cellStyle name="Calculation 26 5" xfId="2890"/>
    <cellStyle name="Calculation 26 6" xfId="3505"/>
    <cellStyle name="Calculation 26 7" xfId="3230"/>
    <cellStyle name="Calculation 26 8" xfId="1931"/>
    <cellStyle name="Calculation 27" xfId="1402"/>
    <cellStyle name="Calculation 27 2" xfId="2597"/>
    <cellStyle name="Calculation 27 3" xfId="2946"/>
    <cellStyle name="Calculation 27 4" xfId="1944"/>
    <cellStyle name="Calculation 27 5" xfId="2005"/>
    <cellStyle name="Calculation 27 6" xfId="1878"/>
    <cellStyle name="Calculation 27 7" xfId="3458"/>
    <cellStyle name="Calculation 27 8" xfId="1753"/>
    <cellStyle name="Calculation 28" xfId="1371"/>
    <cellStyle name="Calculation 28 2" xfId="2567"/>
    <cellStyle name="Calculation 28 3" xfId="2917"/>
    <cellStyle name="Calculation 28 4" xfId="1997"/>
    <cellStyle name="Calculation 28 5" xfId="3452"/>
    <cellStyle name="Calculation 28 6" xfId="2046"/>
    <cellStyle name="Calculation 28 7" xfId="3388"/>
    <cellStyle name="Calculation 28 8" xfId="1967"/>
    <cellStyle name="Calculation 29" xfId="1331"/>
    <cellStyle name="Calculation 29 2" xfId="2532"/>
    <cellStyle name="Calculation 29 3" xfId="2880"/>
    <cellStyle name="Calculation 29 4" xfId="3468"/>
    <cellStyle name="Calculation 29 5" xfId="3485"/>
    <cellStyle name="Calculation 29 6" xfId="3617"/>
    <cellStyle name="Calculation 29 7" xfId="3814"/>
    <cellStyle name="Calculation 29 8" xfId="3979"/>
    <cellStyle name="Calculation 3" xfId="195"/>
    <cellStyle name="Calculation 30" xfId="1528"/>
    <cellStyle name="Calculation 30 2" xfId="2718"/>
    <cellStyle name="Calculation 30 3" xfId="3067"/>
    <cellStyle name="Calculation 30 4" xfId="1745"/>
    <cellStyle name="Calculation 30 5" xfId="1861"/>
    <cellStyle name="Calculation 30 6" xfId="1993"/>
    <cellStyle name="Calculation 30 7" xfId="2374"/>
    <cellStyle name="Calculation 30 8" xfId="3397"/>
    <cellStyle name="Calculation 4" xfId="455"/>
    <cellStyle name="Calculation 5" xfId="606"/>
    <cellStyle name="Calculation 6" xfId="538"/>
    <cellStyle name="Calculation 7" xfId="636"/>
    <cellStyle name="Calculation 8" xfId="498"/>
    <cellStyle name="Calculation 9" xfId="533"/>
    <cellStyle name="Check Cell" xfId="27" builtinId="23" customBuiltin="1"/>
    <cellStyle name="Check Cell 10" xfId="698"/>
    <cellStyle name="Check Cell 11" xfId="738"/>
    <cellStyle name="Check Cell 12" xfId="777"/>
    <cellStyle name="Check Cell 13" xfId="812"/>
    <cellStyle name="Check Cell 14" xfId="846"/>
    <cellStyle name="Check Cell 15" xfId="878"/>
    <cellStyle name="Check Cell 16" xfId="1008"/>
    <cellStyle name="Check Cell 17" xfId="1135"/>
    <cellStyle name="Check Cell 18" xfId="1101"/>
    <cellStyle name="Check Cell 19" xfId="1029"/>
    <cellStyle name="Check Cell 2" xfId="97"/>
    <cellStyle name="Check Cell 2 2" xfId="5736"/>
    <cellStyle name="Check Cell 20" xfId="1099"/>
    <cellStyle name="Check Cell 21" xfId="1180"/>
    <cellStyle name="Check Cell 22" xfId="1211"/>
    <cellStyle name="Check Cell 23" xfId="1341"/>
    <cellStyle name="Check Cell 23 2" xfId="2541"/>
    <cellStyle name="Check Cell 23 3" xfId="2889"/>
    <cellStyle name="Check Cell 23 4" xfId="2345"/>
    <cellStyle name="Check Cell 23 5" xfId="1951"/>
    <cellStyle name="Check Cell 23 6" xfId="2274"/>
    <cellStyle name="Check Cell 23 7" xfId="3576"/>
    <cellStyle name="Check Cell 23 8" xfId="3778"/>
    <cellStyle name="Check Cell 24" xfId="1446"/>
    <cellStyle name="Check Cell 24 2" xfId="2641"/>
    <cellStyle name="Check Cell 24 3" xfId="2988"/>
    <cellStyle name="Check Cell 24 4" xfId="1900"/>
    <cellStyle name="Check Cell 24 5" xfId="3661"/>
    <cellStyle name="Check Cell 24 6" xfId="3854"/>
    <cellStyle name="Check Cell 24 7" xfId="4014"/>
    <cellStyle name="Check Cell 24 8" xfId="4130"/>
    <cellStyle name="Check Cell 25" xfId="1333"/>
    <cellStyle name="Check Cell 25 2" xfId="2534"/>
    <cellStyle name="Check Cell 25 3" xfId="2882"/>
    <cellStyle name="Check Cell 25 4" xfId="3430"/>
    <cellStyle name="Check Cell 25 5" xfId="2410"/>
    <cellStyle name="Check Cell 25 6" xfId="1791"/>
    <cellStyle name="Check Cell 25 7" xfId="2042"/>
    <cellStyle name="Check Cell 25 8" xfId="1955"/>
    <cellStyle name="Check Cell 26" xfId="1563"/>
    <cellStyle name="Check Cell 26 2" xfId="2751"/>
    <cellStyle name="Check Cell 26 3" xfId="3100"/>
    <cellStyle name="Check Cell 26 4" xfId="2211"/>
    <cellStyle name="Check Cell 26 5" xfId="3572"/>
    <cellStyle name="Check Cell 26 6" xfId="3774"/>
    <cellStyle name="Check Cell 26 7" xfId="3950"/>
    <cellStyle name="Check Cell 26 8" xfId="4092"/>
    <cellStyle name="Check Cell 27" xfId="1344"/>
    <cellStyle name="Check Cell 27 2" xfId="2543"/>
    <cellStyle name="Check Cell 27 3" xfId="2892"/>
    <cellStyle name="Check Cell 27 4" xfId="2163"/>
    <cellStyle name="Check Cell 27 5" xfId="2161"/>
    <cellStyle name="Check Cell 27 6" xfId="3259"/>
    <cellStyle name="Check Cell 27 7" xfId="2095"/>
    <cellStyle name="Check Cell 27 8" xfId="1981"/>
    <cellStyle name="Check Cell 28" xfId="1478"/>
    <cellStyle name="Check Cell 28 2" xfId="2671"/>
    <cellStyle name="Check Cell 28 3" xfId="3019"/>
    <cellStyle name="Check Cell 28 4" xfId="3448"/>
    <cellStyle name="Check Cell 28 5" xfId="2371"/>
    <cellStyle name="Check Cell 28 6" xfId="3730"/>
    <cellStyle name="Check Cell 28 7" xfId="3915"/>
    <cellStyle name="Check Cell 28 8" xfId="4065"/>
    <cellStyle name="Check Cell 29" xfId="1585"/>
    <cellStyle name="Check Cell 29 2" xfId="2763"/>
    <cellStyle name="Check Cell 29 3" xfId="3117"/>
    <cellStyle name="Check Cell 29 4" xfId="2084"/>
    <cellStyle name="Check Cell 29 5" xfId="3261"/>
    <cellStyle name="Check Cell 29 6" xfId="1987"/>
    <cellStyle name="Check Cell 29 7" xfId="3731"/>
    <cellStyle name="Check Cell 29 8" xfId="3916"/>
    <cellStyle name="Check Cell 3" xfId="126"/>
    <cellStyle name="Check Cell 30" xfId="1426"/>
    <cellStyle name="Check Cell 30 2" xfId="2621"/>
    <cellStyle name="Check Cell 30 3" xfId="2969"/>
    <cellStyle name="Check Cell 30 4" xfId="3275"/>
    <cellStyle name="Check Cell 30 5" xfId="2198"/>
    <cellStyle name="Check Cell 30 6" xfId="1818"/>
    <cellStyle name="Check Cell 30 7" xfId="3367"/>
    <cellStyle name="Check Cell 30 8" xfId="1724"/>
    <cellStyle name="Check Cell 4" xfId="456"/>
    <cellStyle name="Check Cell 5" xfId="605"/>
    <cellStyle name="Check Cell 6" xfId="567"/>
    <cellStyle name="Check Cell 7" xfId="479"/>
    <cellStyle name="Check Cell 8" xfId="565"/>
    <cellStyle name="Check Cell 9" xfId="658"/>
    <cellStyle name="Comma" xfId="28" builtinId="3"/>
    <cellStyle name="Comma 10" xfId="205"/>
    <cellStyle name="Comma 10 10" xfId="32654"/>
    <cellStyle name="Comma 10 2" xfId="10407"/>
    <cellStyle name="Comma 10 3" xfId="10720"/>
    <cellStyle name="Comma 10 4" xfId="11004"/>
    <cellStyle name="Comma 10 5" xfId="11405"/>
    <cellStyle name="Comma 10 6" xfId="13925"/>
    <cellStyle name="Comma 10 7" xfId="17656"/>
    <cellStyle name="Comma 10 8" xfId="22738"/>
    <cellStyle name="Comma 10 9" xfId="27743"/>
    <cellStyle name="Comma 11" xfId="4727"/>
    <cellStyle name="Comma 11 2" xfId="14217"/>
    <cellStyle name="Comma 11 3" xfId="19002"/>
    <cellStyle name="Comma 11 4" xfId="24045"/>
    <cellStyle name="Comma 11 5" xfId="29006"/>
    <cellStyle name="Comma 11 6" xfId="33864"/>
    <cellStyle name="Comma 11 7" xfId="38595"/>
    <cellStyle name="Comma 12" xfId="4734"/>
    <cellStyle name="Comma 12 2" xfId="15319"/>
    <cellStyle name="Comma 12 3" xfId="20436"/>
    <cellStyle name="Comma 12 4" xfId="25479"/>
    <cellStyle name="Comma 12 5" xfId="30440"/>
    <cellStyle name="Comma 12 6" xfId="35298"/>
    <cellStyle name="Comma 12 7" xfId="40029"/>
    <cellStyle name="Comma 13" xfId="296"/>
    <cellStyle name="Comma 13 10" xfId="13606"/>
    <cellStyle name="Comma 13 2" xfId="10507"/>
    <cellStyle name="Comma 13 3" xfId="10820"/>
    <cellStyle name="Comma 13 4" xfId="11104"/>
    <cellStyle name="Comma 13 5" xfId="11496"/>
    <cellStyle name="Comma 13 6" xfId="13085"/>
    <cellStyle name="Comma 13 7" xfId="12469"/>
    <cellStyle name="Comma 13 8" xfId="12180"/>
    <cellStyle name="Comma 13 9" xfId="12616"/>
    <cellStyle name="Comma 14" xfId="298"/>
    <cellStyle name="Comma 14 10" xfId="32747"/>
    <cellStyle name="Comma 14 2" xfId="10509"/>
    <cellStyle name="Comma 14 3" xfId="10822"/>
    <cellStyle name="Comma 14 4" xfId="11106"/>
    <cellStyle name="Comma 14 5" xfId="11498"/>
    <cellStyle name="Comma 14 6" xfId="14164"/>
    <cellStyle name="Comma 14 7" xfId="17868"/>
    <cellStyle name="Comma 14 8" xfId="22916"/>
    <cellStyle name="Comma 14 9" xfId="27882"/>
    <cellStyle name="Comma 15" xfId="300"/>
    <cellStyle name="Comma 15 10" xfId="32676"/>
    <cellStyle name="Comma 15 2" xfId="10511"/>
    <cellStyle name="Comma 15 3" xfId="10824"/>
    <cellStyle name="Comma 15 4" xfId="11108"/>
    <cellStyle name="Comma 15 5" xfId="11500"/>
    <cellStyle name="Comma 15 6" xfId="13978"/>
    <cellStyle name="Comma 15 7" xfId="17702"/>
    <cellStyle name="Comma 15 8" xfId="22778"/>
    <cellStyle name="Comma 15 9" xfId="27778"/>
    <cellStyle name="Comma 16" xfId="302"/>
    <cellStyle name="Comma 16 10" xfId="17854"/>
    <cellStyle name="Comma 16 2" xfId="10513"/>
    <cellStyle name="Comma 16 3" xfId="10826"/>
    <cellStyle name="Comma 16 4" xfId="11110"/>
    <cellStyle name="Comma 16 5" xfId="11502"/>
    <cellStyle name="Comma 16 6" xfId="12561"/>
    <cellStyle name="Comma 16 7" xfId="12448"/>
    <cellStyle name="Comma 16 8" xfId="13500"/>
    <cellStyle name="Comma 16 9" xfId="14150"/>
    <cellStyle name="Comma 17" xfId="304"/>
    <cellStyle name="Comma 17 10" xfId="22851"/>
    <cellStyle name="Comma 17 2" xfId="10515"/>
    <cellStyle name="Comma 17 3" xfId="10828"/>
    <cellStyle name="Comma 17 4" xfId="11112"/>
    <cellStyle name="Comma 17 5" xfId="11504"/>
    <cellStyle name="Comma 17 6" xfId="13213"/>
    <cellStyle name="Comma 17 7" xfId="13330"/>
    <cellStyle name="Comma 17 8" xfId="14072"/>
    <cellStyle name="Comma 17 9" xfId="17786"/>
    <cellStyle name="Comma 18" xfId="306"/>
    <cellStyle name="Comma 18 10" xfId="32718"/>
    <cellStyle name="Comma 18 2" xfId="10517"/>
    <cellStyle name="Comma 18 3" xfId="10830"/>
    <cellStyle name="Comma 18 4" xfId="11114"/>
    <cellStyle name="Comma 18 5" xfId="11506"/>
    <cellStyle name="Comma 18 6" xfId="14083"/>
    <cellStyle name="Comma 18 7" xfId="17797"/>
    <cellStyle name="Comma 18 8" xfId="22860"/>
    <cellStyle name="Comma 18 9" xfId="27838"/>
    <cellStyle name="Comma 19" xfId="309"/>
    <cellStyle name="Comma 19 10" xfId="13323"/>
    <cellStyle name="Comma 19 2" xfId="10520"/>
    <cellStyle name="Comma 19 3" xfId="10833"/>
    <cellStyle name="Comma 19 4" xfId="11117"/>
    <cellStyle name="Comma 19 5" xfId="11509"/>
    <cellStyle name="Comma 19 6" xfId="12645"/>
    <cellStyle name="Comma 19 7" xfId="12030"/>
    <cellStyle name="Comma 19 8" xfId="12814"/>
    <cellStyle name="Comma 19 9" xfId="12162"/>
    <cellStyle name="Comma 2" xfId="4726"/>
    <cellStyle name="Comma 2 10" xfId="23824"/>
    <cellStyle name="Comma 2 11" xfId="28785"/>
    <cellStyle name="Comma 2 12" xfId="33643"/>
    <cellStyle name="Comma 2 13" xfId="38374"/>
    <cellStyle name="Comma 2 2" xfId="2019"/>
    <cellStyle name="Comma 2 2 2" xfId="12721"/>
    <cellStyle name="Comma 2 2 3" xfId="12967"/>
    <cellStyle name="Comma 2 2 4" xfId="13670"/>
    <cellStyle name="Comma 2 2 5" xfId="12344"/>
    <cellStyle name="Comma 2 2 6" xfId="13147"/>
    <cellStyle name="Comma 2 2 7" xfId="14053"/>
    <cellStyle name="Comma 2 3" xfId="1922"/>
    <cellStyle name="Comma 2 3 2" xfId="12658"/>
    <cellStyle name="Comma 2 3 3" xfId="12813"/>
    <cellStyle name="Comma 2 3 4" xfId="13204"/>
    <cellStyle name="Comma 2 3 5" xfId="13691"/>
    <cellStyle name="Comma 2 3 6" xfId="13369"/>
    <cellStyle name="Comma 2 3 7" xfId="11778"/>
    <cellStyle name="Comma 2 4" xfId="1832"/>
    <cellStyle name="Comma 2 4 2" xfId="12600"/>
    <cellStyle name="Comma 2 4 3" xfId="11759"/>
    <cellStyle name="Comma 2 4 4" xfId="11821"/>
    <cellStyle name="Comma 2 4 5" xfId="11892"/>
    <cellStyle name="Comma 2 4 6" xfId="13288"/>
    <cellStyle name="Comma 2 4 7" xfId="12413"/>
    <cellStyle name="Comma 2 5" xfId="3434"/>
    <cellStyle name="Comma 2 5 2" xfId="13689"/>
    <cellStyle name="Comma 2 5 3" xfId="13620"/>
    <cellStyle name="Comma 2 5 4" xfId="12826"/>
    <cellStyle name="Comma 2 5 5" xfId="11764"/>
    <cellStyle name="Comma 2 5 6" xfId="11719"/>
    <cellStyle name="Comma 2 5 7" xfId="13410"/>
    <cellStyle name="Comma 2 6" xfId="1994"/>
    <cellStyle name="Comma 2 6 2" xfId="12701"/>
    <cellStyle name="Comma 2 6 3" xfId="11974"/>
    <cellStyle name="Comma 2 6 4" xfId="13898"/>
    <cellStyle name="Comma 2 6 5" xfId="17631"/>
    <cellStyle name="Comma 2 6 6" xfId="22717"/>
    <cellStyle name="Comma 2 6 7" xfId="27727"/>
    <cellStyle name="Comma 2 7" xfId="3268"/>
    <cellStyle name="Comma 2 7 2" xfId="13583"/>
    <cellStyle name="Comma 2 7 3" xfId="12575"/>
    <cellStyle name="Comma 2 7 4" xfId="12662"/>
    <cellStyle name="Comma 2 7 5" xfId="11373"/>
    <cellStyle name="Comma 2 7 6" xfId="11742"/>
    <cellStyle name="Comma 2 7 7" xfId="12779"/>
    <cellStyle name="Comma 2 8" xfId="14215"/>
    <cellStyle name="Comma 2 9" xfId="18781"/>
    <cellStyle name="Comma 20" xfId="243"/>
    <cellStyle name="Comma 20 10" xfId="13522"/>
    <cellStyle name="Comma 20 2" xfId="10454"/>
    <cellStyle name="Comma 20 3" xfId="10767"/>
    <cellStyle name="Comma 20 4" xfId="11051"/>
    <cellStyle name="Comma 20 5" xfId="11443"/>
    <cellStyle name="Comma 20 6" xfId="12201"/>
    <cellStyle name="Comma 20 7" xfId="13556"/>
    <cellStyle name="Comma 20 8" xfId="13483"/>
    <cellStyle name="Comma 20 9" xfId="11844"/>
    <cellStyle name="Comma 21" xfId="311"/>
    <cellStyle name="Comma 21 10" xfId="27862"/>
    <cellStyle name="Comma 21 2" xfId="10522"/>
    <cellStyle name="Comma 21 3" xfId="10835"/>
    <cellStyle name="Comma 21 4" xfId="11119"/>
    <cellStyle name="Comma 21 5" xfId="11511"/>
    <cellStyle name="Comma 21 6" xfId="13399"/>
    <cellStyle name="Comma 21 7" xfId="14129"/>
    <cellStyle name="Comma 21 8" xfId="17837"/>
    <cellStyle name="Comma 21 9" xfId="22893"/>
    <cellStyle name="Comma 22" xfId="4171"/>
    <cellStyle name="Comma 22 10" xfId="4712"/>
    <cellStyle name="Comma 22 10 2" xfId="6587"/>
    <cellStyle name="Comma 22 10 3" xfId="18705"/>
    <cellStyle name="Comma 22 10 4" xfId="23748"/>
    <cellStyle name="Comma 22 10 5" xfId="28709"/>
    <cellStyle name="Comma 22 10 6" xfId="33567"/>
    <cellStyle name="Comma 22 10 7" xfId="38298"/>
    <cellStyle name="Comma 22 11" xfId="4929"/>
    <cellStyle name="Comma 22 11 2" xfId="6597"/>
    <cellStyle name="Comma 22 11 3" xfId="18715"/>
    <cellStyle name="Comma 22 11 4" xfId="23758"/>
    <cellStyle name="Comma 22 11 5" xfId="28719"/>
    <cellStyle name="Comma 22 11 6" xfId="33577"/>
    <cellStyle name="Comma 22 11 7" xfId="38308"/>
    <cellStyle name="Comma 22 12" xfId="4939"/>
    <cellStyle name="Comma 22 12 2" xfId="6607"/>
    <cellStyle name="Comma 22 12 3" xfId="18725"/>
    <cellStyle name="Comma 22 12 4" xfId="23768"/>
    <cellStyle name="Comma 22 12 5" xfId="28729"/>
    <cellStyle name="Comma 22 12 6" xfId="33587"/>
    <cellStyle name="Comma 22 12 7" xfId="38318"/>
    <cellStyle name="Comma 22 13" xfId="4949"/>
    <cellStyle name="Comma 22 13 2" xfId="6617"/>
    <cellStyle name="Comma 22 13 3" xfId="18735"/>
    <cellStyle name="Comma 22 13 4" xfId="23778"/>
    <cellStyle name="Comma 22 13 5" xfId="28739"/>
    <cellStyle name="Comma 22 13 6" xfId="33597"/>
    <cellStyle name="Comma 22 13 7" xfId="38328"/>
    <cellStyle name="Comma 22 14" xfId="4957"/>
    <cellStyle name="Comma 22 14 2" xfId="6627"/>
    <cellStyle name="Comma 22 14 3" xfId="18745"/>
    <cellStyle name="Comma 22 14 4" xfId="23788"/>
    <cellStyle name="Comma 22 14 5" xfId="28749"/>
    <cellStyle name="Comma 22 14 6" xfId="33607"/>
    <cellStyle name="Comma 22 14 7" xfId="38338"/>
    <cellStyle name="Comma 22 15" xfId="5149"/>
    <cellStyle name="Comma 22 15 2" xfId="6637"/>
    <cellStyle name="Comma 22 15 3" xfId="18755"/>
    <cellStyle name="Comma 22 15 4" xfId="23798"/>
    <cellStyle name="Comma 22 15 5" xfId="28759"/>
    <cellStyle name="Comma 22 15 6" xfId="33617"/>
    <cellStyle name="Comma 22 15 7" xfId="38348"/>
    <cellStyle name="Comma 22 16" xfId="5159"/>
    <cellStyle name="Comma 22 16 2" xfId="6647"/>
    <cellStyle name="Comma 22 16 3" xfId="18765"/>
    <cellStyle name="Comma 22 16 4" xfId="23808"/>
    <cellStyle name="Comma 22 16 5" xfId="28769"/>
    <cellStyle name="Comma 22 16 6" xfId="33627"/>
    <cellStyle name="Comma 22 16 7" xfId="38358"/>
    <cellStyle name="Comma 22 17" xfId="5169"/>
    <cellStyle name="Comma 22 17 2" xfId="6655"/>
    <cellStyle name="Comma 22 17 3" xfId="18773"/>
    <cellStyle name="Comma 22 17 4" xfId="23816"/>
    <cellStyle name="Comma 22 17 5" xfId="28777"/>
    <cellStyle name="Comma 22 17 6" xfId="33635"/>
    <cellStyle name="Comma 22 17 7" xfId="38366"/>
    <cellStyle name="Comma 22 18" xfId="5177"/>
    <cellStyle name="Comma 22 18 2" xfId="6845"/>
    <cellStyle name="Comma 22 18 3" xfId="18966"/>
    <cellStyle name="Comma 22 18 4" xfId="24009"/>
    <cellStyle name="Comma 22 18 5" xfId="28970"/>
    <cellStyle name="Comma 22 18 6" xfId="33828"/>
    <cellStyle name="Comma 22 18 7" xfId="38559"/>
    <cellStyle name="Comma 22 19" xfId="5600"/>
    <cellStyle name="Comma 22 19 2" xfId="6855"/>
    <cellStyle name="Comma 22 19 3" xfId="18976"/>
    <cellStyle name="Comma 22 19 4" xfId="24019"/>
    <cellStyle name="Comma 22 19 5" xfId="28980"/>
    <cellStyle name="Comma 22 19 6" xfId="33838"/>
    <cellStyle name="Comma 22 19 7" xfId="38569"/>
    <cellStyle name="Comma 22 2" xfId="4358"/>
    <cellStyle name="Comma 22 2 2" xfId="5798"/>
    <cellStyle name="Comma 22 2 3" xfId="18602"/>
    <cellStyle name="Comma 22 2 4" xfId="23645"/>
    <cellStyle name="Comma 22 2 5" xfId="28606"/>
    <cellStyle name="Comma 22 2 6" xfId="33464"/>
    <cellStyle name="Comma 22 2 7" xfId="38195"/>
    <cellStyle name="Comma 22 20" xfId="5611"/>
    <cellStyle name="Comma 22 20 2" xfId="6865"/>
    <cellStyle name="Comma 22 20 3" xfId="18986"/>
    <cellStyle name="Comma 22 20 4" xfId="24029"/>
    <cellStyle name="Comma 22 20 5" xfId="28990"/>
    <cellStyle name="Comma 22 20 6" xfId="33848"/>
    <cellStyle name="Comma 22 20 7" xfId="38579"/>
    <cellStyle name="Comma 22 21" xfId="5621"/>
    <cellStyle name="Comma 22 21 2" xfId="6873"/>
    <cellStyle name="Comma 22 21 3" xfId="18994"/>
    <cellStyle name="Comma 22 21 4" xfId="24037"/>
    <cellStyle name="Comma 22 21 5" xfId="28998"/>
    <cellStyle name="Comma 22 21 6" xfId="33856"/>
    <cellStyle name="Comma 22 21 7" xfId="38587"/>
    <cellStyle name="Comma 22 22" xfId="5631"/>
    <cellStyle name="Comma 22 22 2" xfId="7369"/>
    <cellStyle name="Comma 22 22 3" xfId="19542"/>
    <cellStyle name="Comma 22 22 4" xfId="24585"/>
    <cellStyle name="Comma 22 22 5" xfId="29546"/>
    <cellStyle name="Comma 22 22 6" xfId="34404"/>
    <cellStyle name="Comma 22 22 7" xfId="39135"/>
    <cellStyle name="Comma 22 23" xfId="5641"/>
    <cellStyle name="Comma 22 23 2" xfId="7381"/>
    <cellStyle name="Comma 22 23 3" xfId="19554"/>
    <cellStyle name="Comma 22 23 4" xfId="24597"/>
    <cellStyle name="Comma 22 23 5" xfId="29558"/>
    <cellStyle name="Comma 22 23 6" xfId="34416"/>
    <cellStyle name="Comma 22 23 7" xfId="39147"/>
    <cellStyle name="Comma 22 24" xfId="5651"/>
    <cellStyle name="Comma 22 24 2" xfId="7393"/>
    <cellStyle name="Comma 22 24 3" xfId="19566"/>
    <cellStyle name="Comma 22 24 4" xfId="24609"/>
    <cellStyle name="Comma 22 24 5" xfId="29570"/>
    <cellStyle name="Comma 22 24 6" xfId="34428"/>
    <cellStyle name="Comma 22 24 7" xfId="39159"/>
    <cellStyle name="Comma 22 25" xfId="5661"/>
    <cellStyle name="Comma 22 25 2" xfId="7404"/>
    <cellStyle name="Comma 22 25 3" xfId="19577"/>
    <cellStyle name="Comma 22 25 4" xfId="24620"/>
    <cellStyle name="Comma 22 25 5" xfId="29581"/>
    <cellStyle name="Comma 22 25 6" xfId="34439"/>
    <cellStyle name="Comma 22 25 7" xfId="39170"/>
    <cellStyle name="Comma 22 26" xfId="5671"/>
    <cellStyle name="Comma 22 26 2" xfId="7414"/>
    <cellStyle name="Comma 22 26 3" xfId="19587"/>
    <cellStyle name="Comma 22 26 4" xfId="24630"/>
    <cellStyle name="Comma 22 26 5" xfId="29591"/>
    <cellStyle name="Comma 22 26 6" xfId="34449"/>
    <cellStyle name="Comma 22 26 7" xfId="39180"/>
    <cellStyle name="Comma 22 27" xfId="5679"/>
    <cellStyle name="Comma 22 27 2" xfId="7422"/>
    <cellStyle name="Comma 22 27 3" xfId="19597"/>
    <cellStyle name="Comma 22 27 4" xfId="24640"/>
    <cellStyle name="Comma 22 27 5" xfId="29601"/>
    <cellStyle name="Comma 22 27 6" xfId="34459"/>
    <cellStyle name="Comma 22 27 7" xfId="39190"/>
    <cellStyle name="Comma 22 28" xfId="5696"/>
    <cellStyle name="Comma 22 28 2" xfId="14490"/>
    <cellStyle name="Comma 22 28 3" xfId="19607"/>
    <cellStyle name="Comma 22 28 4" xfId="24650"/>
    <cellStyle name="Comma 22 28 5" xfId="29611"/>
    <cellStyle name="Comma 22 28 6" xfId="34469"/>
    <cellStyle name="Comma 22 28 7" xfId="39200"/>
    <cellStyle name="Comma 22 29" xfId="5699"/>
    <cellStyle name="Comma 22 29 2" xfId="14500"/>
    <cellStyle name="Comma 22 29 3" xfId="19617"/>
    <cellStyle name="Comma 22 29 4" xfId="24660"/>
    <cellStyle name="Comma 22 29 5" xfId="29621"/>
    <cellStyle name="Comma 22 29 6" xfId="34479"/>
    <cellStyle name="Comma 22 29 7" xfId="39210"/>
    <cellStyle name="Comma 22 3" xfId="4366"/>
    <cellStyle name="Comma 22 3 2" xfId="6500"/>
    <cellStyle name="Comma 22 3 3" xfId="18618"/>
    <cellStyle name="Comma 22 3 4" xfId="23661"/>
    <cellStyle name="Comma 22 3 5" xfId="28622"/>
    <cellStyle name="Comma 22 3 6" xfId="33480"/>
    <cellStyle name="Comma 22 3 7" xfId="38211"/>
    <cellStyle name="Comma 22 30" xfId="7436"/>
    <cellStyle name="Comma 22 30 2" xfId="14510"/>
    <cellStyle name="Comma 22 30 3" xfId="19627"/>
    <cellStyle name="Comma 22 30 4" xfId="24670"/>
    <cellStyle name="Comma 22 30 5" xfId="29631"/>
    <cellStyle name="Comma 22 30 6" xfId="34489"/>
    <cellStyle name="Comma 22 30 7" xfId="39220"/>
    <cellStyle name="Comma 22 31" xfId="7446"/>
    <cellStyle name="Comma 22 31 2" xfId="14520"/>
    <cellStyle name="Comma 22 31 3" xfId="19637"/>
    <cellStyle name="Comma 22 31 4" xfId="24680"/>
    <cellStyle name="Comma 22 31 5" xfId="29641"/>
    <cellStyle name="Comma 22 31 6" xfId="34499"/>
    <cellStyle name="Comma 22 31 7" xfId="39230"/>
    <cellStyle name="Comma 22 32" xfId="7456"/>
    <cellStyle name="Comma 22 32 2" xfId="14530"/>
    <cellStyle name="Comma 22 32 3" xfId="19647"/>
    <cellStyle name="Comma 22 32 4" xfId="24690"/>
    <cellStyle name="Comma 22 32 5" xfId="29651"/>
    <cellStyle name="Comma 22 32 6" xfId="34509"/>
    <cellStyle name="Comma 22 32 7" xfId="39240"/>
    <cellStyle name="Comma 22 33" xfId="7464"/>
    <cellStyle name="Comma 22 33 2" xfId="14538"/>
    <cellStyle name="Comma 22 33 3" xfId="19655"/>
    <cellStyle name="Comma 22 33 4" xfId="24698"/>
    <cellStyle name="Comma 22 33 5" xfId="29659"/>
    <cellStyle name="Comma 22 33 6" xfId="34517"/>
    <cellStyle name="Comma 22 33 7" xfId="39248"/>
    <cellStyle name="Comma 22 34" xfId="8091"/>
    <cellStyle name="Comma 22 34 2" xfId="15171"/>
    <cellStyle name="Comma 22 34 3" xfId="20288"/>
    <cellStyle name="Comma 22 34 4" xfId="25331"/>
    <cellStyle name="Comma 22 34 5" xfId="30292"/>
    <cellStyle name="Comma 22 34 6" xfId="35150"/>
    <cellStyle name="Comma 22 34 7" xfId="39881"/>
    <cellStyle name="Comma 22 35" xfId="8105"/>
    <cellStyle name="Comma 22 35 2" xfId="15185"/>
    <cellStyle name="Comma 22 35 3" xfId="20302"/>
    <cellStyle name="Comma 22 35 4" xfId="25345"/>
    <cellStyle name="Comma 22 35 5" xfId="30306"/>
    <cellStyle name="Comma 22 35 6" xfId="35164"/>
    <cellStyle name="Comma 22 35 7" xfId="39895"/>
    <cellStyle name="Comma 22 36" xfId="8118"/>
    <cellStyle name="Comma 22 36 2" xfId="15198"/>
    <cellStyle name="Comma 22 36 3" xfId="20315"/>
    <cellStyle name="Comma 22 36 4" xfId="25358"/>
    <cellStyle name="Comma 22 36 5" xfId="30319"/>
    <cellStyle name="Comma 22 36 6" xfId="35177"/>
    <cellStyle name="Comma 22 36 7" xfId="39908"/>
    <cellStyle name="Comma 22 37" xfId="8130"/>
    <cellStyle name="Comma 22 37 2" xfId="15210"/>
    <cellStyle name="Comma 22 37 3" xfId="20327"/>
    <cellStyle name="Comma 22 37 4" xfId="25370"/>
    <cellStyle name="Comma 22 37 5" xfId="30331"/>
    <cellStyle name="Comma 22 37 6" xfId="35189"/>
    <cellStyle name="Comma 22 37 7" xfId="39920"/>
    <cellStyle name="Comma 22 38" xfId="8142"/>
    <cellStyle name="Comma 22 38 2" xfId="15222"/>
    <cellStyle name="Comma 22 38 3" xfId="20339"/>
    <cellStyle name="Comma 22 38 4" xfId="25382"/>
    <cellStyle name="Comma 22 38 5" xfId="30343"/>
    <cellStyle name="Comma 22 38 6" xfId="35201"/>
    <cellStyle name="Comma 22 38 7" xfId="39932"/>
    <cellStyle name="Comma 22 39" xfId="8153"/>
    <cellStyle name="Comma 22 39 2" xfId="15233"/>
    <cellStyle name="Comma 22 39 3" xfId="20350"/>
    <cellStyle name="Comma 22 39 4" xfId="25393"/>
    <cellStyle name="Comma 22 39 5" xfId="30354"/>
    <cellStyle name="Comma 22 39 6" xfId="35212"/>
    <cellStyle name="Comma 22 39 7" xfId="39943"/>
    <cellStyle name="Comma 22 4" xfId="4374"/>
    <cellStyle name="Comma 22 4 2" xfId="6515"/>
    <cellStyle name="Comma 22 4 3" xfId="18633"/>
    <cellStyle name="Comma 22 4 4" xfId="23676"/>
    <cellStyle name="Comma 22 4 5" xfId="28637"/>
    <cellStyle name="Comma 22 4 6" xfId="33495"/>
    <cellStyle name="Comma 22 4 7" xfId="38226"/>
    <cellStyle name="Comma 22 40" xfId="8163"/>
    <cellStyle name="Comma 22 40 2" xfId="15243"/>
    <cellStyle name="Comma 22 40 3" xfId="20360"/>
    <cellStyle name="Comma 22 40 4" xfId="25403"/>
    <cellStyle name="Comma 22 40 5" xfId="30364"/>
    <cellStyle name="Comma 22 40 6" xfId="35222"/>
    <cellStyle name="Comma 22 40 7" xfId="39953"/>
    <cellStyle name="Comma 22 41" xfId="8173"/>
    <cellStyle name="Comma 22 41 2" xfId="15253"/>
    <cellStyle name="Comma 22 41 3" xfId="20370"/>
    <cellStyle name="Comma 22 41 4" xfId="25413"/>
    <cellStyle name="Comma 22 41 5" xfId="30374"/>
    <cellStyle name="Comma 22 41 6" xfId="35232"/>
    <cellStyle name="Comma 22 41 7" xfId="39963"/>
    <cellStyle name="Comma 22 42" xfId="8183"/>
    <cellStyle name="Comma 22 42 2" xfId="15263"/>
    <cellStyle name="Comma 22 42 3" xfId="20380"/>
    <cellStyle name="Comma 22 42 4" xfId="25423"/>
    <cellStyle name="Comma 22 42 5" xfId="30384"/>
    <cellStyle name="Comma 22 42 6" xfId="35242"/>
    <cellStyle name="Comma 22 42 7" xfId="39973"/>
    <cellStyle name="Comma 22 43" xfId="8193"/>
    <cellStyle name="Comma 22 43 2" xfId="15273"/>
    <cellStyle name="Comma 22 43 3" xfId="20390"/>
    <cellStyle name="Comma 22 43 4" xfId="25433"/>
    <cellStyle name="Comma 22 43 5" xfId="30394"/>
    <cellStyle name="Comma 22 43 6" xfId="35252"/>
    <cellStyle name="Comma 22 43 7" xfId="39983"/>
    <cellStyle name="Comma 22 44" xfId="8203"/>
    <cellStyle name="Comma 22 44 2" xfId="15283"/>
    <cellStyle name="Comma 22 44 3" xfId="20400"/>
    <cellStyle name="Comma 22 44 4" xfId="25443"/>
    <cellStyle name="Comma 22 44 5" xfId="30404"/>
    <cellStyle name="Comma 22 44 6" xfId="35262"/>
    <cellStyle name="Comma 22 44 7" xfId="39993"/>
    <cellStyle name="Comma 22 45" xfId="8213"/>
    <cellStyle name="Comma 22 45 2" xfId="15293"/>
    <cellStyle name="Comma 22 45 3" xfId="20410"/>
    <cellStyle name="Comma 22 45 4" xfId="25453"/>
    <cellStyle name="Comma 22 45 5" xfId="30414"/>
    <cellStyle name="Comma 22 45 6" xfId="35272"/>
    <cellStyle name="Comma 22 45 7" xfId="40003"/>
    <cellStyle name="Comma 22 46" xfId="8223"/>
    <cellStyle name="Comma 22 46 2" xfId="15303"/>
    <cellStyle name="Comma 22 46 3" xfId="20420"/>
    <cellStyle name="Comma 22 46 4" xfId="25463"/>
    <cellStyle name="Comma 22 46 5" xfId="30424"/>
    <cellStyle name="Comma 22 46 6" xfId="35282"/>
    <cellStyle name="Comma 22 46 7" xfId="40013"/>
    <cellStyle name="Comma 22 47" xfId="8231"/>
    <cellStyle name="Comma 22 47 2" xfId="15311"/>
    <cellStyle name="Comma 22 47 3" xfId="20428"/>
    <cellStyle name="Comma 22 47 4" xfId="25471"/>
    <cellStyle name="Comma 22 47 5" xfId="30432"/>
    <cellStyle name="Comma 22 47 6" xfId="35290"/>
    <cellStyle name="Comma 22 47 7" xfId="40021"/>
    <cellStyle name="Comma 22 48" xfId="8889"/>
    <cellStyle name="Comma 22 48 2" xfId="15970"/>
    <cellStyle name="Comma 22 48 3" xfId="21087"/>
    <cellStyle name="Comma 22 48 4" xfId="26130"/>
    <cellStyle name="Comma 22 48 5" xfId="31091"/>
    <cellStyle name="Comma 22 48 6" xfId="35949"/>
    <cellStyle name="Comma 22 48 7" xfId="40680"/>
    <cellStyle name="Comma 22 49" xfId="8902"/>
    <cellStyle name="Comma 22 49 2" xfId="15983"/>
    <cellStyle name="Comma 22 49 3" xfId="21100"/>
    <cellStyle name="Comma 22 49 4" xfId="26143"/>
    <cellStyle name="Comma 22 49 5" xfId="31104"/>
    <cellStyle name="Comma 22 49 6" xfId="35962"/>
    <cellStyle name="Comma 22 49 7" xfId="40693"/>
    <cellStyle name="Comma 22 5" xfId="4430"/>
    <cellStyle name="Comma 22 5 2" xfId="6529"/>
    <cellStyle name="Comma 22 5 3" xfId="18647"/>
    <cellStyle name="Comma 22 5 4" xfId="23690"/>
    <cellStyle name="Comma 22 5 5" xfId="28651"/>
    <cellStyle name="Comma 22 5 6" xfId="33509"/>
    <cellStyle name="Comma 22 5 7" xfId="38240"/>
    <cellStyle name="Comma 22 50" xfId="8916"/>
    <cellStyle name="Comma 22 50 2" xfId="15997"/>
    <cellStyle name="Comma 22 50 3" xfId="21114"/>
    <cellStyle name="Comma 22 50 4" xfId="26157"/>
    <cellStyle name="Comma 22 50 5" xfId="31118"/>
    <cellStyle name="Comma 22 50 6" xfId="35976"/>
    <cellStyle name="Comma 22 50 7" xfId="40707"/>
    <cellStyle name="Comma 22 51" xfId="8932"/>
    <cellStyle name="Comma 22 51 2" xfId="16013"/>
    <cellStyle name="Comma 22 51 3" xfId="21130"/>
    <cellStyle name="Comma 22 51 4" xfId="26173"/>
    <cellStyle name="Comma 22 51 5" xfId="31134"/>
    <cellStyle name="Comma 22 51 6" xfId="35992"/>
    <cellStyle name="Comma 22 51 7" xfId="40723"/>
    <cellStyle name="Comma 22 52" xfId="8947"/>
    <cellStyle name="Comma 22 52 2" xfId="16028"/>
    <cellStyle name="Comma 22 52 3" xfId="21145"/>
    <cellStyle name="Comma 22 52 4" xfId="26188"/>
    <cellStyle name="Comma 22 52 5" xfId="31149"/>
    <cellStyle name="Comma 22 52 6" xfId="36007"/>
    <cellStyle name="Comma 22 52 7" xfId="40738"/>
    <cellStyle name="Comma 22 53" xfId="8961"/>
    <cellStyle name="Comma 22 53 2" xfId="16042"/>
    <cellStyle name="Comma 22 53 3" xfId="21159"/>
    <cellStyle name="Comma 22 53 4" xfId="26202"/>
    <cellStyle name="Comma 22 53 5" xfId="31163"/>
    <cellStyle name="Comma 22 53 6" xfId="36021"/>
    <cellStyle name="Comma 22 53 7" xfId="40752"/>
    <cellStyle name="Comma 22 54" xfId="8975"/>
    <cellStyle name="Comma 22 54 2" xfId="16056"/>
    <cellStyle name="Comma 22 54 3" xfId="21173"/>
    <cellStyle name="Comma 22 54 4" xfId="26216"/>
    <cellStyle name="Comma 22 54 5" xfId="31177"/>
    <cellStyle name="Comma 22 54 6" xfId="36035"/>
    <cellStyle name="Comma 22 54 7" xfId="40766"/>
    <cellStyle name="Comma 22 55" xfId="8987"/>
    <cellStyle name="Comma 22 55 2" xfId="16068"/>
    <cellStyle name="Comma 22 55 3" xfId="21185"/>
    <cellStyle name="Comma 22 55 4" xfId="26228"/>
    <cellStyle name="Comma 22 55 5" xfId="31189"/>
    <cellStyle name="Comma 22 55 6" xfId="36047"/>
    <cellStyle name="Comma 22 55 7" xfId="40778"/>
    <cellStyle name="Comma 22 56" xfId="8997"/>
    <cellStyle name="Comma 22 56 2" xfId="16078"/>
    <cellStyle name="Comma 22 56 3" xfId="21195"/>
    <cellStyle name="Comma 22 56 4" xfId="26238"/>
    <cellStyle name="Comma 22 56 5" xfId="31199"/>
    <cellStyle name="Comma 22 56 6" xfId="36057"/>
    <cellStyle name="Comma 22 56 7" xfId="40788"/>
    <cellStyle name="Comma 22 57" xfId="9007"/>
    <cellStyle name="Comma 22 57 2" xfId="16088"/>
    <cellStyle name="Comma 22 57 3" xfId="21205"/>
    <cellStyle name="Comma 22 57 4" xfId="26248"/>
    <cellStyle name="Comma 22 57 5" xfId="31209"/>
    <cellStyle name="Comma 22 57 6" xfId="36067"/>
    <cellStyle name="Comma 22 57 7" xfId="40798"/>
    <cellStyle name="Comma 22 58" xfId="9017"/>
    <cellStyle name="Comma 22 58 2" xfId="16098"/>
    <cellStyle name="Comma 22 58 3" xfId="21215"/>
    <cellStyle name="Comma 22 58 4" xfId="26258"/>
    <cellStyle name="Comma 22 58 5" xfId="31219"/>
    <cellStyle name="Comma 22 58 6" xfId="36077"/>
    <cellStyle name="Comma 22 58 7" xfId="40808"/>
    <cellStyle name="Comma 22 59" xfId="9027"/>
    <cellStyle name="Comma 22 59 2" xfId="16108"/>
    <cellStyle name="Comma 22 59 3" xfId="21225"/>
    <cellStyle name="Comma 22 59 4" xfId="26268"/>
    <cellStyle name="Comma 22 59 5" xfId="31229"/>
    <cellStyle name="Comma 22 59 6" xfId="36087"/>
    <cellStyle name="Comma 22 59 7" xfId="40818"/>
    <cellStyle name="Comma 22 6" xfId="4486"/>
    <cellStyle name="Comma 22 6 2" xfId="6542"/>
    <cellStyle name="Comma 22 6 3" xfId="18660"/>
    <cellStyle name="Comma 22 6 4" xfId="23703"/>
    <cellStyle name="Comma 22 6 5" xfId="28664"/>
    <cellStyle name="Comma 22 6 6" xfId="33522"/>
    <cellStyle name="Comma 22 6 7" xfId="38253"/>
    <cellStyle name="Comma 22 60" xfId="9037"/>
    <cellStyle name="Comma 22 60 2" xfId="16118"/>
    <cellStyle name="Comma 22 60 3" xfId="21235"/>
    <cellStyle name="Comma 22 60 4" xfId="26278"/>
    <cellStyle name="Comma 22 60 5" xfId="31239"/>
    <cellStyle name="Comma 22 60 6" xfId="36097"/>
    <cellStyle name="Comma 22 60 7" xfId="40828"/>
    <cellStyle name="Comma 22 61" xfId="9047"/>
    <cellStyle name="Comma 22 61 2" xfId="16128"/>
    <cellStyle name="Comma 22 61 3" xfId="21245"/>
    <cellStyle name="Comma 22 61 4" xfId="26288"/>
    <cellStyle name="Comma 22 61 5" xfId="31249"/>
    <cellStyle name="Comma 22 61 6" xfId="36107"/>
    <cellStyle name="Comma 22 61 7" xfId="40838"/>
    <cellStyle name="Comma 22 62" xfId="9055"/>
    <cellStyle name="Comma 22 62 2" xfId="16136"/>
    <cellStyle name="Comma 22 62 3" xfId="21253"/>
    <cellStyle name="Comma 22 62 4" xfId="26296"/>
    <cellStyle name="Comma 22 62 5" xfId="31257"/>
    <cellStyle name="Comma 22 62 6" xfId="36115"/>
    <cellStyle name="Comma 22 62 7" xfId="40846"/>
    <cellStyle name="Comma 22 63" xfId="9602"/>
    <cellStyle name="Comma 22 63 2" xfId="16683"/>
    <cellStyle name="Comma 22 63 3" xfId="21800"/>
    <cellStyle name="Comma 22 63 4" xfId="26843"/>
    <cellStyle name="Comma 22 63 5" xfId="31804"/>
    <cellStyle name="Comma 22 63 6" xfId="36662"/>
    <cellStyle name="Comma 22 63 7" xfId="41393"/>
    <cellStyle name="Comma 22 64" xfId="9614"/>
    <cellStyle name="Comma 22 64 2" xfId="16695"/>
    <cellStyle name="Comma 22 64 3" xfId="21812"/>
    <cellStyle name="Comma 22 64 4" xfId="26855"/>
    <cellStyle name="Comma 22 64 5" xfId="31816"/>
    <cellStyle name="Comma 22 64 6" xfId="36674"/>
    <cellStyle name="Comma 22 64 7" xfId="41405"/>
    <cellStyle name="Comma 22 65" xfId="9626"/>
    <cellStyle name="Comma 22 65 2" xfId="16707"/>
    <cellStyle name="Comma 22 65 3" xfId="21824"/>
    <cellStyle name="Comma 22 65 4" xfId="26867"/>
    <cellStyle name="Comma 22 65 5" xfId="31828"/>
    <cellStyle name="Comma 22 65 6" xfId="36686"/>
    <cellStyle name="Comma 22 65 7" xfId="41417"/>
    <cellStyle name="Comma 22 66" xfId="9637"/>
    <cellStyle name="Comma 22 66 2" xfId="16718"/>
    <cellStyle name="Comma 22 66 3" xfId="21835"/>
    <cellStyle name="Comma 22 66 4" xfId="26878"/>
    <cellStyle name="Comma 22 66 5" xfId="31839"/>
    <cellStyle name="Comma 22 66 6" xfId="36697"/>
    <cellStyle name="Comma 22 66 7" xfId="41428"/>
    <cellStyle name="Comma 22 67" xfId="9647"/>
    <cellStyle name="Comma 22 67 2" xfId="16728"/>
    <cellStyle name="Comma 22 67 3" xfId="21845"/>
    <cellStyle name="Comma 22 67 4" xfId="26888"/>
    <cellStyle name="Comma 22 67 5" xfId="31849"/>
    <cellStyle name="Comma 22 67 6" xfId="36707"/>
    <cellStyle name="Comma 22 67 7" xfId="41438"/>
    <cellStyle name="Comma 22 68" xfId="9657"/>
    <cellStyle name="Comma 22 68 2" xfId="16738"/>
    <cellStyle name="Comma 22 68 3" xfId="21855"/>
    <cellStyle name="Comma 22 68 4" xfId="26898"/>
    <cellStyle name="Comma 22 68 5" xfId="31859"/>
    <cellStyle name="Comma 22 68 6" xfId="36717"/>
    <cellStyle name="Comma 22 68 7" xfId="41448"/>
    <cellStyle name="Comma 22 69" xfId="9667"/>
    <cellStyle name="Comma 22 69 2" xfId="16748"/>
    <cellStyle name="Comma 22 69 3" xfId="21865"/>
    <cellStyle name="Comma 22 69 4" xfId="26908"/>
    <cellStyle name="Comma 22 69 5" xfId="31869"/>
    <cellStyle name="Comma 22 69 6" xfId="36727"/>
    <cellStyle name="Comma 22 69 7" xfId="41458"/>
    <cellStyle name="Comma 22 7" xfId="4637"/>
    <cellStyle name="Comma 22 7 2" xfId="6554"/>
    <cellStyle name="Comma 22 7 3" xfId="18672"/>
    <cellStyle name="Comma 22 7 4" xfId="23715"/>
    <cellStyle name="Comma 22 7 5" xfId="28676"/>
    <cellStyle name="Comma 22 7 6" xfId="33534"/>
    <cellStyle name="Comma 22 7 7" xfId="38265"/>
    <cellStyle name="Comma 22 70" xfId="9677"/>
    <cellStyle name="Comma 22 70 2" xfId="16758"/>
    <cellStyle name="Comma 22 70 3" xfId="21875"/>
    <cellStyle name="Comma 22 70 4" xfId="26918"/>
    <cellStyle name="Comma 22 70 5" xfId="31879"/>
    <cellStyle name="Comma 22 70 6" xfId="36737"/>
    <cellStyle name="Comma 22 70 7" xfId="41468"/>
    <cellStyle name="Comma 22 71" xfId="9687"/>
    <cellStyle name="Comma 22 71 2" xfId="16768"/>
    <cellStyle name="Comma 22 71 3" xfId="21885"/>
    <cellStyle name="Comma 22 71 4" xfId="26928"/>
    <cellStyle name="Comma 22 71 5" xfId="31889"/>
    <cellStyle name="Comma 22 71 6" xfId="36747"/>
    <cellStyle name="Comma 22 71 7" xfId="41478"/>
    <cellStyle name="Comma 22 72" xfId="9697"/>
    <cellStyle name="Comma 22 72 2" xfId="16778"/>
    <cellStyle name="Comma 22 72 3" xfId="21895"/>
    <cellStyle name="Comma 22 72 4" xfId="26938"/>
    <cellStyle name="Comma 22 72 5" xfId="31899"/>
    <cellStyle name="Comma 22 72 6" xfId="36757"/>
    <cellStyle name="Comma 22 72 7" xfId="41488"/>
    <cellStyle name="Comma 22 73" xfId="9707"/>
    <cellStyle name="Comma 22 73 2" xfId="16788"/>
    <cellStyle name="Comma 22 73 3" xfId="21905"/>
    <cellStyle name="Comma 22 73 4" xfId="26948"/>
    <cellStyle name="Comma 22 73 5" xfId="31909"/>
    <cellStyle name="Comma 22 73 6" xfId="36767"/>
    <cellStyle name="Comma 22 73 7" xfId="41498"/>
    <cellStyle name="Comma 22 74" xfId="9715"/>
    <cellStyle name="Comma 22 74 2" xfId="16796"/>
    <cellStyle name="Comma 22 74 3" xfId="21913"/>
    <cellStyle name="Comma 22 74 4" xfId="26956"/>
    <cellStyle name="Comma 22 74 5" xfId="31917"/>
    <cellStyle name="Comma 22 74 6" xfId="36775"/>
    <cellStyle name="Comma 22 74 7" xfId="41506"/>
    <cellStyle name="Comma 22 75" xfId="9997"/>
    <cellStyle name="Comma 22 75 2" xfId="17078"/>
    <cellStyle name="Comma 22 75 3" xfId="22195"/>
    <cellStyle name="Comma 22 75 4" xfId="27238"/>
    <cellStyle name="Comma 22 75 5" xfId="32199"/>
    <cellStyle name="Comma 22 75 6" xfId="37057"/>
    <cellStyle name="Comma 22 75 7" xfId="41788"/>
    <cellStyle name="Comma 22 76" xfId="10007"/>
    <cellStyle name="Comma 22 76 2" xfId="17088"/>
    <cellStyle name="Comma 22 76 3" xfId="22205"/>
    <cellStyle name="Comma 22 76 4" xfId="27248"/>
    <cellStyle name="Comma 22 76 5" xfId="32209"/>
    <cellStyle name="Comma 22 76 6" xfId="37067"/>
    <cellStyle name="Comma 22 76 7" xfId="41798"/>
    <cellStyle name="Comma 22 77" xfId="10017"/>
    <cellStyle name="Comma 22 77 2" xfId="17098"/>
    <cellStyle name="Comma 22 77 3" xfId="22215"/>
    <cellStyle name="Comma 22 77 4" xfId="27258"/>
    <cellStyle name="Comma 22 77 5" xfId="32219"/>
    <cellStyle name="Comma 22 77 6" xfId="37077"/>
    <cellStyle name="Comma 22 77 7" xfId="41808"/>
    <cellStyle name="Comma 22 78" xfId="10027"/>
    <cellStyle name="Comma 22 78 2" xfId="17108"/>
    <cellStyle name="Comma 22 78 3" xfId="22225"/>
    <cellStyle name="Comma 22 78 4" xfId="27268"/>
    <cellStyle name="Comma 22 78 5" xfId="32229"/>
    <cellStyle name="Comma 22 78 6" xfId="37087"/>
    <cellStyle name="Comma 22 78 7" xfId="41818"/>
    <cellStyle name="Comma 22 79" xfId="10037"/>
    <cellStyle name="Comma 22 79 2" xfId="17118"/>
    <cellStyle name="Comma 22 79 3" xfId="22235"/>
    <cellStyle name="Comma 22 79 4" xfId="27278"/>
    <cellStyle name="Comma 22 79 5" xfId="32239"/>
    <cellStyle name="Comma 22 79 6" xfId="37097"/>
    <cellStyle name="Comma 22 79 7" xfId="41828"/>
    <cellStyle name="Comma 22 8" xfId="4645"/>
    <cellStyle name="Comma 22 8 2" xfId="6566"/>
    <cellStyle name="Comma 22 8 3" xfId="18684"/>
    <cellStyle name="Comma 22 8 4" xfId="23727"/>
    <cellStyle name="Comma 22 8 5" xfId="28688"/>
    <cellStyle name="Comma 22 8 6" xfId="33546"/>
    <cellStyle name="Comma 22 8 7" xfId="38277"/>
    <cellStyle name="Comma 22 80" xfId="10045"/>
    <cellStyle name="Comma 22 80 2" xfId="17126"/>
    <cellStyle name="Comma 22 80 3" xfId="22243"/>
    <cellStyle name="Comma 22 80 4" xfId="27286"/>
    <cellStyle name="Comma 22 80 5" xfId="32247"/>
    <cellStyle name="Comma 22 80 6" xfId="37105"/>
    <cellStyle name="Comma 22 80 7" xfId="41836"/>
    <cellStyle name="Comma 22 81" xfId="10327"/>
    <cellStyle name="Comma 22 81 2" xfId="17408"/>
    <cellStyle name="Comma 22 81 3" xfId="22525"/>
    <cellStyle name="Comma 22 81 4" xfId="27568"/>
    <cellStyle name="Comma 22 81 5" xfId="32529"/>
    <cellStyle name="Comma 22 81 6" xfId="37387"/>
    <cellStyle name="Comma 22 81 7" xfId="42118"/>
    <cellStyle name="Comma 22 82" xfId="10337"/>
    <cellStyle name="Comma 22 82 2" xfId="17418"/>
    <cellStyle name="Comma 22 82 3" xfId="22535"/>
    <cellStyle name="Comma 22 82 4" xfId="27578"/>
    <cellStyle name="Comma 22 82 5" xfId="32539"/>
    <cellStyle name="Comma 22 82 6" xfId="37397"/>
    <cellStyle name="Comma 22 82 7" xfId="42128"/>
    <cellStyle name="Comma 22 83" xfId="10347"/>
    <cellStyle name="Comma 22 83 2" xfId="17428"/>
    <cellStyle name="Comma 22 83 3" xfId="22545"/>
    <cellStyle name="Comma 22 83 4" xfId="27588"/>
    <cellStyle name="Comma 22 83 5" xfId="32549"/>
    <cellStyle name="Comma 22 83 6" xfId="37407"/>
    <cellStyle name="Comma 22 83 7" xfId="42138"/>
    <cellStyle name="Comma 22 84" xfId="10357"/>
    <cellStyle name="Comma 22 84 2" xfId="17438"/>
    <cellStyle name="Comma 22 84 3" xfId="22555"/>
    <cellStyle name="Comma 22 84 4" xfId="27598"/>
    <cellStyle name="Comma 22 84 5" xfId="32559"/>
    <cellStyle name="Comma 22 84 6" xfId="37417"/>
    <cellStyle name="Comma 22 84 7" xfId="42148"/>
    <cellStyle name="Comma 22 85" xfId="10367"/>
    <cellStyle name="Comma 22 85 2" xfId="17448"/>
    <cellStyle name="Comma 22 85 3" xfId="22565"/>
    <cellStyle name="Comma 22 85 4" xfId="27608"/>
    <cellStyle name="Comma 22 85 5" xfId="32569"/>
    <cellStyle name="Comma 22 85 6" xfId="37427"/>
    <cellStyle name="Comma 22 85 7" xfId="42158"/>
    <cellStyle name="Comma 22 86" xfId="10375"/>
    <cellStyle name="Comma 22 86 2" xfId="17456"/>
    <cellStyle name="Comma 22 86 3" xfId="22573"/>
    <cellStyle name="Comma 22 86 4" xfId="27616"/>
    <cellStyle name="Comma 22 86 5" xfId="32577"/>
    <cellStyle name="Comma 22 86 6" xfId="37435"/>
    <cellStyle name="Comma 22 86 7" xfId="42166"/>
    <cellStyle name="Comma 22 87" xfId="14193"/>
    <cellStyle name="Comma 22 88" xfId="17894"/>
    <cellStyle name="Comma 22 89" xfId="22937"/>
    <cellStyle name="Comma 22 9" xfId="4653"/>
    <cellStyle name="Comma 22 9 2" xfId="6577"/>
    <cellStyle name="Comma 22 9 3" xfId="18695"/>
    <cellStyle name="Comma 22 9 4" xfId="23738"/>
    <cellStyle name="Comma 22 9 5" xfId="28699"/>
    <cellStyle name="Comma 22 9 6" xfId="33557"/>
    <cellStyle name="Comma 22 9 7" xfId="38288"/>
    <cellStyle name="Comma 22 90" xfId="27898"/>
    <cellStyle name="Comma 22 91" xfId="32756"/>
    <cellStyle name="Comma 22 92" xfId="37487"/>
    <cellStyle name="Comma 23" xfId="4736"/>
    <cellStyle name="Comma 23 2" xfId="14631"/>
    <cellStyle name="Comma 23 3" xfId="19748"/>
    <cellStyle name="Comma 23 4" xfId="24791"/>
    <cellStyle name="Comma 23 5" xfId="29752"/>
    <cellStyle name="Comma 23 6" xfId="34610"/>
    <cellStyle name="Comma 23 7" xfId="39341"/>
    <cellStyle name="Comma 24" xfId="4738"/>
    <cellStyle name="Comma 24 2" xfId="14590"/>
    <cellStyle name="Comma 24 3" xfId="19707"/>
    <cellStyle name="Comma 24 4" xfId="24750"/>
    <cellStyle name="Comma 24 5" xfId="29711"/>
    <cellStyle name="Comma 24 6" xfId="34569"/>
    <cellStyle name="Comma 24 7" xfId="39300"/>
    <cellStyle name="Comma 25" xfId="4175"/>
    <cellStyle name="Comma 25 10" xfId="4716"/>
    <cellStyle name="Comma 25 10 2" xfId="6591"/>
    <cellStyle name="Comma 25 10 3" xfId="18709"/>
    <cellStyle name="Comma 25 10 4" xfId="23752"/>
    <cellStyle name="Comma 25 10 5" xfId="28713"/>
    <cellStyle name="Comma 25 10 6" xfId="33571"/>
    <cellStyle name="Comma 25 10 7" xfId="38302"/>
    <cellStyle name="Comma 25 11" xfId="4933"/>
    <cellStyle name="Comma 25 11 2" xfId="6601"/>
    <cellStyle name="Comma 25 11 3" xfId="18719"/>
    <cellStyle name="Comma 25 11 4" xfId="23762"/>
    <cellStyle name="Comma 25 11 5" xfId="28723"/>
    <cellStyle name="Comma 25 11 6" xfId="33581"/>
    <cellStyle name="Comma 25 11 7" xfId="38312"/>
    <cellStyle name="Comma 25 12" xfId="4943"/>
    <cellStyle name="Comma 25 12 2" xfId="6611"/>
    <cellStyle name="Comma 25 12 3" xfId="18729"/>
    <cellStyle name="Comma 25 12 4" xfId="23772"/>
    <cellStyle name="Comma 25 12 5" xfId="28733"/>
    <cellStyle name="Comma 25 12 6" xfId="33591"/>
    <cellStyle name="Comma 25 12 7" xfId="38322"/>
    <cellStyle name="Comma 25 13" xfId="4953"/>
    <cellStyle name="Comma 25 13 2" xfId="6621"/>
    <cellStyle name="Comma 25 13 3" xfId="18739"/>
    <cellStyle name="Comma 25 13 4" xfId="23782"/>
    <cellStyle name="Comma 25 13 5" xfId="28743"/>
    <cellStyle name="Comma 25 13 6" xfId="33601"/>
    <cellStyle name="Comma 25 13 7" xfId="38332"/>
    <cellStyle name="Comma 25 14" xfId="4961"/>
    <cellStyle name="Comma 25 14 2" xfId="6631"/>
    <cellStyle name="Comma 25 14 3" xfId="18749"/>
    <cellStyle name="Comma 25 14 4" xfId="23792"/>
    <cellStyle name="Comma 25 14 5" xfId="28753"/>
    <cellStyle name="Comma 25 14 6" xfId="33611"/>
    <cellStyle name="Comma 25 14 7" xfId="38342"/>
    <cellStyle name="Comma 25 15" xfId="5153"/>
    <cellStyle name="Comma 25 15 2" xfId="6641"/>
    <cellStyle name="Comma 25 15 3" xfId="18759"/>
    <cellStyle name="Comma 25 15 4" xfId="23802"/>
    <cellStyle name="Comma 25 15 5" xfId="28763"/>
    <cellStyle name="Comma 25 15 6" xfId="33621"/>
    <cellStyle name="Comma 25 15 7" xfId="38352"/>
    <cellStyle name="Comma 25 16" xfId="5163"/>
    <cellStyle name="Comma 25 16 2" xfId="6651"/>
    <cellStyle name="Comma 25 16 3" xfId="18769"/>
    <cellStyle name="Comma 25 16 4" xfId="23812"/>
    <cellStyle name="Comma 25 16 5" xfId="28773"/>
    <cellStyle name="Comma 25 16 6" xfId="33631"/>
    <cellStyle name="Comma 25 16 7" xfId="38362"/>
    <cellStyle name="Comma 25 17" xfId="5173"/>
    <cellStyle name="Comma 25 17 2" xfId="6659"/>
    <cellStyle name="Comma 25 17 3" xfId="18777"/>
    <cellStyle name="Comma 25 17 4" xfId="23820"/>
    <cellStyle name="Comma 25 17 5" xfId="28781"/>
    <cellStyle name="Comma 25 17 6" xfId="33639"/>
    <cellStyle name="Comma 25 17 7" xfId="38370"/>
    <cellStyle name="Comma 25 18" xfId="5181"/>
    <cellStyle name="Comma 25 18 2" xfId="6849"/>
    <cellStyle name="Comma 25 18 3" xfId="18970"/>
    <cellStyle name="Comma 25 18 4" xfId="24013"/>
    <cellStyle name="Comma 25 18 5" xfId="28974"/>
    <cellStyle name="Comma 25 18 6" xfId="33832"/>
    <cellStyle name="Comma 25 18 7" xfId="38563"/>
    <cellStyle name="Comma 25 19" xfId="5604"/>
    <cellStyle name="Comma 25 19 2" xfId="6859"/>
    <cellStyle name="Comma 25 19 3" xfId="18980"/>
    <cellStyle name="Comma 25 19 4" xfId="24023"/>
    <cellStyle name="Comma 25 19 5" xfId="28984"/>
    <cellStyle name="Comma 25 19 6" xfId="33842"/>
    <cellStyle name="Comma 25 19 7" xfId="38573"/>
    <cellStyle name="Comma 25 2" xfId="4362"/>
    <cellStyle name="Comma 25 2 2" xfId="5802"/>
    <cellStyle name="Comma 25 2 3" xfId="18606"/>
    <cellStyle name="Comma 25 2 4" xfId="23649"/>
    <cellStyle name="Comma 25 2 5" xfId="28610"/>
    <cellStyle name="Comma 25 2 6" xfId="33468"/>
    <cellStyle name="Comma 25 2 7" xfId="38199"/>
    <cellStyle name="Comma 25 20" xfId="5615"/>
    <cellStyle name="Comma 25 20 2" xfId="6869"/>
    <cellStyle name="Comma 25 20 3" xfId="18990"/>
    <cellStyle name="Comma 25 20 4" xfId="24033"/>
    <cellStyle name="Comma 25 20 5" xfId="28994"/>
    <cellStyle name="Comma 25 20 6" xfId="33852"/>
    <cellStyle name="Comma 25 20 7" xfId="38583"/>
    <cellStyle name="Comma 25 21" xfId="5625"/>
    <cellStyle name="Comma 25 21 2" xfId="6877"/>
    <cellStyle name="Comma 25 21 3" xfId="18998"/>
    <cellStyle name="Comma 25 21 4" xfId="24041"/>
    <cellStyle name="Comma 25 21 5" xfId="29002"/>
    <cellStyle name="Comma 25 21 6" xfId="33860"/>
    <cellStyle name="Comma 25 21 7" xfId="38591"/>
    <cellStyle name="Comma 25 22" xfId="5635"/>
    <cellStyle name="Comma 25 22 2" xfId="7373"/>
    <cellStyle name="Comma 25 22 3" xfId="19546"/>
    <cellStyle name="Comma 25 22 4" xfId="24589"/>
    <cellStyle name="Comma 25 22 5" xfId="29550"/>
    <cellStyle name="Comma 25 22 6" xfId="34408"/>
    <cellStyle name="Comma 25 22 7" xfId="39139"/>
    <cellStyle name="Comma 25 23" xfId="5645"/>
    <cellStyle name="Comma 25 23 2" xfId="7385"/>
    <cellStyle name="Comma 25 23 3" xfId="19558"/>
    <cellStyle name="Comma 25 23 4" xfId="24601"/>
    <cellStyle name="Comma 25 23 5" xfId="29562"/>
    <cellStyle name="Comma 25 23 6" xfId="34420"/>
    <cellStyle name="Comma 25 23 7" xfId="39151"/>
    <cellStyle name="Comma 25 24" xfId="5655"/>
    <cellStyle name="Comma 25 24 2" xfId="7397"/>
    <cellStyle name="Comma 25 24 3" xfId="19570"/>
    <cellStyle name="Comma 25 24 4" xfId="24613"/>
    <cellStyle name="Comma 25 24 5" xfId="29574"/>
    <cellStyle name="Comma 25 24 6" xfId="34432"/>
    <cellStyle name="Comma 25 24 7" xfId="39163"/>
    <cellStyle name="Comma 25 25" xfId="5665"/>
    <cellStyle name="Comma 25 25 2" xfId="7408"/>
    <cellStyle name="Comma 25 25 3" xfId="19581"/>
    <cellStyle name="Comma 25 25 4" xfId="24624"/>
    <cellStyle name="Comma 25 25 5" xfId="29585"/>
    <cellStyle name="Comma 25 25 6" xfId="34443"/>
    <cellStyle name="Comma 25 25 7" xfId="39174"/>
    <cellStyle name="Comma 25 26" xfId="5675"/>
    <cellStyle name="Comma 25 26 2" xfId="7418"/>
    <cellStyle name="Comma 25 26 3" xfId="19591"/>
    <cellStyle name="Comma 25 26 4" xfId="24634"/>
    <cellStyle name="Comma 25 26 5" xfId="29595"/>
    <cellStyle name="Comma 25 26 6" xfId="34453"/>
    <cellStyle name="Comma 25 26 7" xfId="39184"/>
    <cellStyle name="Comma 25 27" xfId="5683"/>
    <cellStyle name="Comma 25 27 2" xfId="7426"/>
    <cellStyle name="Comma 25 27 3" xfId="19601"/>
    <cellStyle name="Comma 25 27 4" xfId="24644"/>
    <cellStyle name="Comma 25 27 5" xfId="29605"/>
    <cellStyle name="Comma 25 27 6" xfId="34463"/>
    <cellStyle name="Comma 25 27 7" xfId="39194"/>
    <cellStyle name="Comma 25 28" xfId="5697"/>
    <cellStyle name="Comma 25 28 2" xfId="14494"/>
    <cellStyle name="Comma 25 28 3" xfId="19611"/>
    <cellStyle name="Comma 25 28 4" xfId="24654"/>
    <cellStyle name="Comma 25 28 5" xfId="29615"/>
    <cellStyle name="Comma 25 28 6" xfId="34473"/>
    <cellStyle name="Comma 25 28 7" xfId="39204"/>
    <cellStyle name="Comma 25 29" xfId="5698"/>
    <cellStyle name="Comma 25 29 2" xfId="14504"/>
    <cellStyle name="Comma 25 29 3" xfId="19621"/>
    <cellStyle name="Comma 25 29 4" xfId="24664"/>
    <cellStyle name="Comma 25 29 5" xfId="29625"/>
    <cellStyle name="Comma 25 29 6" xfId="34483"/>
    <cellStyle name="Comma 25 29 7" xfId="39214"/>
    <cellStyle name="Comma 25 3" xfId="4370"/>
    <cellStyle name="Comma 25 3 2" xfId="6504"/>
    <cellStyle name="Comma 25 3 3" xfId="18622"/>
    <cellStyle name="Comma 25 3 4" xfId="23665"/>
    <cellStyle name="Comma 25 3 5" xfId="28626"/>
    <cellStyle name="Comma 25 3 6" xfId="33484"/>
    <cellStyle name="Comma 25 3 7" xfId="38215"/>
    <cellStyle name="Comma 25 30" xfId="7440"/>
    <cellStyle name="Comma 25 30 2" xfId="14514"/>
    <cellStyle name="Comma 25 30 3" xfId="19631"/>
    <cellStyle name="Comma 25 30 4" xfId="24674"/>
    <cellStyle name="Comma 25 30 5" xfId="29635"/>
    <cellStyle name="Comma 25 30 6" xfId="34493"/>
    <cellStyle name="Comma 25 30 7" xfId="39224"/>
    <cellStyle name="Comma 25 31" xfId="7450"/>
    <cellStyle name="Comma 25 31 2" xfId="14524"/>
    <cellStyle name="Comma 25 31 3" xfId="19641"/>
    <cellStyle name="Comma 25 31 4" xfId="24684"/>
    <cellStyle name="Comma 25 31 5" xfId="29645"/>
    <cellStyle name="Comma 25 31 6" xfId="34503"/>
    <cellStyle name="Comma 25 31 7" xfId="39234"/>
    <cellStyle name="Comma 25 32" xfId="7460"/>
    <cellStyle name="Comma 25 32 2" xfId="14534"/>
    <cellStyle name="Comma 25 32 3" xfId="19651"/>
    <cellStyle name="Comma 25 32 4" xfId="24694"/>
    <cellStyle name="Comma 25 32 5" xfId="29655"/>
    <cellStyle name="Comma 25 32 6" xfId="34513"/>
    <cellStyle name="Comma 25 32 7" xfId="39244"/>
    <cellStyle name="Comma 25 33" xfId="7468"/>
    <cellStyle name="Comma 25 33 2" xfId="14542"/>
    <cellStyle name="Comma 25 33 3" xfId="19659"/>
    <cellStyle name="Comma 25 33 4" xfId="24702"/>
    <cellStyle name="Comma 25 33 5" xfId="29663"/>
    <cellStyle name="Comma 25 33 6" xfId="34521"/>
    <cellStyle name="Comma 25 33 7" xfId="39252"/>
    <cellStyle name="Comma 25 34" xfId="8095"/>
    <cellStyle name="Comma 25 34 2" xfId="15175"/>
    <cellStyle name="Comma 25 34 3" xfId="20292"/>
    <cellStyle name="Comma 25 34 4" xfId="25335"/>
    <cellStyle name="Comma 25 34 5" xfId="30296"/>
    <cellStyle name="Comma 25 34 6" xfId="35154"/>
    <cellStyle name="Comma 25 34 7" xfId="39885"/>
    <cellStyle name="Comma 25 35" xfId="8109"/>
    <cellStyle name="Comma 25 35 2" xfId="15189"/>
    <cellStyle name="Comma 25 35 3" xfId="20306"/>
    <cellStyle name="Comma 25 35 4" xfId="25349"/>
    <cellStyle name="Comma 25 35 5" xfId="30310"/>
    <cellStyle name="Comma 25 35 6" xfId="35168"/>
    <cellStyle name="Comma 25 35 7" xfId="39899"/>
    <cellStyle name="Comma 25 36" xfId="8122"/>
    <cellStyle name="Comma 25 36 2" xfId="15202"/>
    <cellStyle name="Comma 25 36 3" xfId="20319"/>
    <cellStyle name="Comma 25 36 4" xfId="25362"/>
    <cellStyle name="Comma 25 36 5" xfId="30323"/>
    <cellStyle name="Comma 25 36 6" xfId="35181"/>
    <cellStyle name="Comma 25 36 7" xfId="39912"/>
    <cellStyle name="Comma 25 37" xfId="8134"/>
    <cellStyle name="Comma 25 37 2" xfId="15214"/>
    <cellStyle name="Comma 25 37 3" xfId="20331"/>
    <cellStyle name="Comma 25 37 4" xfId="25374"/>
    <cellStyle name="Comma 25 37 5" xfId="30335"/>
    <cellStyle name="Comma 25 37 6" xfId="35193"/>
    <cellStyle name="Comma 25 37 7" xfId="39924"/>
    <cellStyle name="Comma 25 38" xfId="8146"/>
    <cellStyle name="Comma 25 38 2" xfId="15226"/>
    <cellStyle name="Comma 25 38 3" xfId="20343"/>
    <cellStyle name="Comma 25 38 4" xfId="25386"/>
    <cellStyle name="Comma 25 38 5" xfId="30347"/>
    <cellStyle name="Comma 25 38 6" xfId="35205"/>
    <cellStyle name="Comma 25 38 7" xfId="39936"/>
    <cellStyle name="Comma 25 39" xfId="8157"/>
    <cellStyle name="Comma 25 39 2" xfId="15237"/>
    <cellStyle name="Comma 25 39 3" xfId="20354"/>
    <cellStyle name="Comma 25 39 4" xfId="25397"/>
    <cellStyle name="Comma 25 39 5" xfId="30358"/>
    <cellStyle name="Comma 25 39 6" xfId="35216"/>
    <cellStyle name="Comma 25 39 7" xfId="39947"/>
    <cellStyle name="Comma 25 4" xfId="4378"/>
    <cellStyle name="Comma 25 4 2" xfId="6519"/>
    <cellStyle name="Comma 25 4 3" xfId="18637"/>
    <cellStyle name="Comma 25 4 4" xfId="23680"/>
    <cellStyle name="Comma 25 4 5" xfId="28641"/>
    <cellStyle name="Comma 25 4 6" xfId="33499"/>
    <cellStyle name="Comma 25 4 7" xfId="38230"/>
    <cellStyle name="Comma 25 40" xfId="8167"/>
    <cellStyle name="Comma 25 40 2" xfId="15247"/>
    <cellStyle name="Comma 25 40 3" xfId="20364"/>
    <cellStyle name="Comma 25 40 4" xfId="25407"/>
    <cellStyle name="Comma 25 40 5" xfId="30368"/>
    <cellStyle name="Comma 25 40 6" xfId="35226"/>
    <cellStyle name="Comma 25 40 7" xfId="39957"/>
    <cellStyle name="Comma 25 41" xfId="8177"/>
    <cellStyle name="Comma 25 41 2" xfId="15257"/>
    <cellStyle name="Comma 25 41 3" xfId="20374"/>
    <cellStyle name="Comma 25 41 4" xfId="25417"/>
    <cellStyle name="Comma 25 41 5" xfId="30378"/>
    <cellStyle name="Comma 25 41 6" xfId="35236"/>
    <cellStyle name="Comma 25 41 7" xfId="39967"/>
    <cellStyle name="Comma 25 42" xfId="8187"/>
    <cellStyle name="Comma 25 42 2" xfId="15267"/>
    <cellStyle name="Comma 25 42 3" xfId="20384"/>
    <cellStyle name="Comma 25 42 4" xfId="25427"/>
    <cellStyle name="Comma 25 42 5" xfId="30388"/>
    <cellStyle name="Comma 25 42 6" xfId="35246"/>
    <cellStyle name="Comma 25 42 7" xfId="39977"/>
    <cellStyle name="Comma 25 43" xfId="8197"/>
    <cellStyle name="Comma 25 43 2" xfId="15277"/>
    <cellStyle name="Comma 25 43 3" xfId="20394"/>
    <cellStyle name="Comma 25 43 4" xfId="25437"/>
    <cellStyle name="Comma 25 43 5" xfId="30398"/>
    <cellStyle name="Comma 25 43 6" xfId="35256"/>
    <cellStyle name="Comma 25 43 7" xfId="39987"/>
    <cellStyle name="Comma 25 44" xfId="8207"/>
    <cellStyle name="Comma 25 44 2" xfId="15287"/>
    <cellStyle name="Comma 25 44 3" xfId="20404"/>
    <cellStyle name="Comma 25 44 4" xfId="25447"/>
    <cellStyle name="Comma 25 44 5" xfId="30408"/>
    <cellStyle name="Comma 25 44 6" xfId="35266"/>
    <cellStyle name="Comma 25 44 7" xfId="39997"/>
    <cellStyle name="Comma 25 45" xfId="8217"/>
    <cellStyle name="Comma 25 45 2" xfId="15297"/>
    <cellStyle name="Comma 25 45 3" xfId="20414"/>
    <cellStyle name="Comma 25 45 4" xfId="25457"/>
    <cellStyle name="Comma 25 45 5" xfId="30418"/>
    <cellStyle name="Comma 25 45 6" xfId="35276"/>
    <cellStyle name="Comma 25 45 7" xfId="40007"/>
    <cellStyle name="Comma 25 46" xfId="8227"/>
    <cellStyle name="Comma 25 46 2" xfId="15307"/>
    <cellStyle name="Comma 25 46 3" xfId="20424"/>
    <cellStyle name="Comma 25 46 4" xfId="25467"/>
    <cellStyle name="Comma 25 46 5" xfId="30428"/>
    <cellStyle name="Comma 25 46 6" xfId="35286"/>
    <cellStyle name="Comma 25 46 7" xfId="40017"/>
    <cellStyle name="Comma 25 47" xfId="8235"/>
    <cellStyle name="Comma 25 47 2" xfId="15315"/>
    <cellStyle name="Comma 25 47 3" xfId="20432"/>
    <cellStyle name="Comma 25 47 4" xfId="25475"/>
    <cellStyle name="Comma 25 47 5" xfId="30436"/>
    <cellStyle name="Comma 25 47 6" xfId="35294"/>
    <cellStyle name="Comma 25 47 7" xfId="40025"/>
    <cellStyle name="Comma 25 48" xfId="8893"/>
    <cellStyle name="Comma 25 48 2" xfId="15974"/>
    <cellStyle name="Comma 25 48 3" xfId="21091"/>
    <cellStyle name="Comma 25 48 4" xfId="26134"/>
    <cellStyle name="Comma 25 48 5" xfId="31095"/>
    <cellStyle name="Comma 25 48 6" xfId="35953"/>
    <cellStyle name="Comma 25 48 7" xfId="40684"/>
    <cellStyle name="Comma 25 49" xfId="8906"/>
    <cellStyle name="Comma 25 49 2" xfId="15987"/>
    <cellStyle name="Comma 25 49 3" xfId="21104"/>
    <cellStyle name="Comma 25 49 4" xfId="26147"/>
    <cellStyle name="Comma 25 49 5" xfId="31108"/>
    <cellStyle name="Comma 25 49 6" xfId="35966"/>
    <cellStyle name="Comma 25 49 7" xfId="40697"/>
    <cellStyle name="Comma 25 5" xfId="4434"/>
    <cellStyle name="Comma 25 5 2" xfId="6533"/>
    <cellStyle name="Comma 25 5 3" xfId="18651"/>
    <cellStyle name="Comma 25 5 4" xfId="23694"/>
    <cellStyle name="Comma 25 5 5" xfId="28655"/>
    <cellStyle name="Comma 25 5 6" xfId="33513"/>
    <cellStyle name="Comma 25 5 7" xfId="38244"/>
    <cellStyle name="Comma 25 50" xfId="8920"/>
    <cellStyle name="Comma 25 50 2" xfId="16001"/>
    <cellStyle name="Comma 25 50 3" xfId="21118"/>
    <cellStyle name="Comma 25 50 4" xfId="26161"/>
    <cellStyle name="Comma 25 50 5" xfId="31122"/>
    <cellStyle name="Comma 25 50 6" xfId="35980"/>
    <cellStyle name="Comma 25 50 7" xfId="40711"/>
    <cellStyle name="Comma 25 51" xfId="8936"/>
    <cellStyle name="Comma 25 51 2" xfId="16017"/>
    <cellStyle name="Comma 25 51 3" xfId="21134"/>
    <cellStyle name="Comma 25 51 4" xfId="26177"/>
    <cellStyle name="Comma 25 51 5" xfId="31138"/>
    <cellStyle name="Comma 25 51 6" xfId="35996"/>
    <cellStyle name="Comma 25 51 7" xfId="40727"/>
    <cellStyle name="Comma 25 52" xfId="8951"/>
    <cellStyle name="Comma 25 52 2" xfId="16032"/>
    <cellStyle name="Comma 25 52 3" xfId="21149"/>
    <cellStyle name="Comma 25 52 4" xfId="26192"/>
    <cellStyle name="Comma 25 52 5" xfId="31153"/>
    <cellStyle name="Comma 25 52 6" xfId="36011"/>
    <cellStyle name="Comma 25 52 7" xfId="40742"/>
    <cellStyle name="Comma 25 53" xfId="8965"/>
    <cellStyle name="Comma 25 53 2" xfId="16046"/>
    <cellStyle name="Comma 25 53 3" xfId="21163"/>
    <cellStyle name="Comma 25 53 4" xfId="26206"/>
    <cellStyle name="Comma 25 53 5" xfId="31167"/>
    <cellStyle name="Comma 25 53 6" xfId="36025"/>
    <cellStyle name="Comma 25 53 7" xfId="40756"/>
    <cellStyle name="Comma 25 54" xfId="8979"/>
    <cellStyle name="Comma 25 54 2" xfId="16060"/>
    <cellStyle name="Comma 25 54 3" xfId="21177"/>
    <cellStyle name="Comma 25 54 4" xfId="26220"/>
    <cellStyle name="Comma 25 54 5" xfId="31181"/>
    <cellStyle name="Comma 25 54 6" xfId="36039"/>
    <cellStyle name="Comma 25 54 7" xfId="40770"/>
    <cellStyle name="Comma 25 55" xfId="8991"/>
    <cellStyle name="Comma 25 55 2" xfId="16072"/>
    <cellStyle name="Comma 25 55 3" xfId="21189"/>
    <cellStyle name="Comma 25 55 4" xfId="26232"/>
    <cellStyle name="Comma 25 55 5" xfId="31193"/>
    <cellStyle name="Comma 25 55 6" xfId="36051"/>
    <cellStyle name="Comma 25 55 7" xfId="40782"/>
    <cellStyle name="Comma 25 56" xfId="9001"/>
    <cellStyle name="Comma 25 56 2" xfId="16082"/>
    <cellStyle name="Comma 25 56 3" xfId="21199"/>
    <cellStyle name="Comma 25 56 4" xfId="26242"/>
    <cellStyle name="Comma 25 56 5" xfId="31203"/>
    <cellStyle name="Comma 25 56 6" xfId="36061"/>
    <cellStyle name="Comma 25 56 7" xfId="40792"/>
    <cellStyle name="Comma 25 57" xfId="9011"/>
    <cellStyle name="Comma 25 57 2" xfId="16092"/>
    <cellStyle name="Comma 25 57 3" xfId="21209"/>
    <cellStyle name="Comma 25 57 4" xfId="26252"/>
    <cellStyle name="Comma 25 57 5" xfId="31213"/>
    <cellStyle name="Comma 25 57 6" xfId="36071"/>
    <cellStyle name="Comma 25 57 7" xfId="40802"/>
    <cellStyle name="Comma 25 58" xfId="9021"/>
    <cellStyle name="Comma 25 58 2" xfId="16102"/>
    <cellStyle name="Comma 25 58 3" xfId="21219"/>
    <cellStyle name="Comma 25 58 4" xfId="26262"/>
    <cellStyle name="Comma 25 58 5" xfId="31223"/>
    <cellStyle name="Comma 25 58 6" xfId="36081"/>
    <cellStyle name="Comma 25 58 7" xfId="40812"/>
    <cellStyle name="Comma 25 59" xfId="9031"/>
    <cellStyle name="Comma 25 59 2" xfId="16112"/>
    <cellStyle name="Comma 25 59 3" xfId="21229"/>
    <cellStyle name="Comma 25 59 4" xfId="26272"/>
    <cellStyle name="Comma 25 59 5" xfId="31233"/>
    <cellStyle name="Comma 25 59 6" xfId="36091"/>
    <cellStyle name="Comma 25 59 7" xfId="40822"/>
    <cellStyle name="Comma 25 6" xfId="4490"/>
    <cellStyle name="Comma 25 6 2" xfId="6546"/>
    <cellStyle name="Comma 25 6 3" xfId="18664"/>
    <cellStyle name="Comma 25 6 4" xfId="23707"/>
    <cellStyle name="Comma 25 6 5" xfId="28668"/>
    <cellStyle name="Comma 25 6 6" xfId="33526"/>
    <cellStyle name="Comma 25 6 7" xfId="38257"/>
    <cellStyle name="Comma 25 60" xfId="9041"/>
    <cellStyle name="Comma 25 60 2" xfId="16122"/>
    <cellStyle name="Comma 25 60 3" xfId="21239"/>
    <cellStyle name="Comma 25 60 4" xfId="26282"/>
    <cellStyle name="Comma 25 60 5" xfId="31243"/>
    <cellStyle name="Comma 25 60 6" xfId="36101"/>
    <cellStyle name="Comma 25 60 7" xfId="40832"/>
    <cellStyle name="Comma 25 61" xfId="9051"/>
    <cellStyle name="Comma 25 61 2" xfId="16132"/>
    <cellStyle name="Comma 25 61 3" xfId="21249"/>
    <cellStyle name="Comma 25 61 4" xfId="26292"/>
    <cellStyle name="Comma 25 61 5" xfId="31253"/>
    <cellStyle name="Comma 25 61 6" xfId="36111"/>
    <cellStyle name="Comma 25 61 7" xfId="40842"/>
    <cellStyle name="Comma 25 62" xfId="9059"/>
    <cellStyle name="Comma 25 62 2" xfId="16140"/>
    <cellStyle name="Comma 25 62 3" xfId="21257"/>
    <cellStyle name="Comma 25 62 4" xfId="26300"/>
    <cellStyle name="Comma 25 62 5" xfId="31261"/>
    <cellStyle name="Comma 25 62 6" xfId="36119"/>
    <cellStyle name="Comma 25 62 7" xfId="40850"/>
    <cellStyle name="Comma 25 63" xfId="9606"/>
    <cellStyle name="Comma 25 63 2" xfId="16687"/>
    <cellStyle name="Comma 25 63 3" xfId="21804"/>
    <cellStyle name="Comma 25 63 4" xfId="26847"/>
    <cellStyle name="Comma 25 63 5" xfId="31808"/>
    <cellStyle name="Comma 25 63 6" xfId="36666"/>
    <cellStyle name="Comma 25 63 7" xfId="41397"/>
    <cellStyle name="Comma 25 64" xfId="9618"/>
    <cellStyle name="Comma 25 64 2" xfId="16699"/>
    <cellStyle name="Comma 25 64 3" xfId="21816"/>
    <cellStyle name="Comma 25 64 4" xfId="26859"/>
    <cellStyle name="Comma 25 64 5" xfId="31820"/>
    <cellStyle name="Comma 25 64 6" xfId="36678"/>
    <cellStyle name="Comma 25 64 7" xfId="41409"/>
    <cellStyle name="Comma 25 65" xfId="9630"/>
    <cellStyle name="Comma 25 65 2" xfId="16711"/>
    <cellStyle name="Comma 25 65 3" xfId="21828"/>
    <cellStyle name="Comma 25 65 4" xfId="26871"/>
    <cellStyle name="Comma 25 65 5" xfId="31832"/>
    <cellStyle name="Comma 25 65 6" xfId="36690"/>
    <cellStyle name="Comma 25 65 7" xfId="41421"/>
    <cellStyle name="Comma 25 66" xfId="9641"/>
    <cellStyle name="Comma 25 66 2" xfId="16722"/>
    <cellStyle name="Comma 25 66 3" xfId="21839"/>
    <cellStyle name="Comma 25 66 4" xfId="26882"/>
    <cellStyle name="Comma 25 66 5" xfId="31843"/>
    <cellStyle name="Comma 25 66 6" xfId="36701"/>
    <cellStyle name="Comma 25 66 7" xfId="41432"/>
    <cellStyle name="Comma 25 67" xfId="9651"/>
    <cellStyle name="Comma 25 67 2" xfId="16732"/>
    <cellStyle name="Comma 25 67 3" xfId="21849"/>
    <cellStyle name="Comma 25 67 4" xfId="26892"/>
    <cellStyle name="Comma 25 67 5" xfId="31853"/>
    <cellStyle name="Comma 25 67 6" xfId="36711"/>
    <cellStyle name="Comma 25 67 7" xfId="41442"/>
    <cellStyle name="Comma 25 68" xfId="9661"/>
    <cellStyle name="Comma 25 68 2" xfId="16742"/>
    <cellStyle name="Comma 25 68 3" xfId="21859"/>
    <cellStyle name="Comma 25 68 4" xfId="26902"/>
    <cellStyle name="Comma 25 68 5" xfId="31863"/>
    <cellStyle name="Comma 25 68 6" xfId="36721"/>
    <cellStyle name="Comma 25 68 7" xfId="41452"/>
    <cellStyle name="Comma 25 69" xfId="9671"/>
    <cellStyle name="Comma 25 69 2" xfId="16752"/>
    <cellStyle name="Comma 25 69 3" xfId="21869"/>
    <cellStyle name="Comma 25 69 4" xfId="26912"/>
    <cellStyle name="Comma 25 69 5" xfId="31873"/>
    <cellStyle name="Comma 25 69 6" xfId="36731"/>
    <cellStyle name="Comma 25 69 7" xfId="41462"/>
    <cellStyle name="Comma 25 7" xfId="4641"/>
    <cellStyle name="Comma 25 7 2" xfId="6558"/>
    <cellStyle name="Comma 25 7 3" xfId="18676"/>
    <cellStyle name="Comma 25 7 4" xfId="23719"/>
    <cellStyle name="Comma 25 7 5" xfId="28680"/>
    <cellStyle name="Comma 25 7 6" xfId="33538"/>
    <cellStyle name="Comma 25 7 7" xfId="38269"/>
    <cellStyle name="Comma 25 70" xfId="9681"/>
    <cellStyle name="Comma 25 70 2" xfId="16762"/>
    <cellStyle name="Comma 25 70 3" xfId="21879"/>
    <cellStyle name="Comma 25 70 4" xfId="26922"/>
    <cellStyle name="Comma 25 70 5" xfId="31883"/>
    <cellStyle name="Comma 25 70 6" xfId="36741"/>
    <cellStyle name="Comma 25 70 7" xfId="41472"/>
    <cellStyle name="Comma 25 71" xfId="9691"/>
    <cellStyle name="Comma 25 71 2" xfId="16772"/>
    <cellStyle name="Comma 25 71 3" xfId="21889"/>
    <cellStyle name="Comma 25 71 4" xfId="26932"/>
    <cellStyle name="Comma 25 71 5" xfId="31893"/>
    <cellStyle name="Comma 25 71 6" xfId="36751"/>
    <cellStyle name="Comma 25 71 7" xfId="41482"/>
    <cellStyle name="Comma 25 72" xfId="9701"/>
    <cellStyle name="Comma 25 72 2" xfId="16782"/>
    <cellStyle name="Comma 25 72 3" xfId="21899"/>
    <cellStyle name="Comma 25 72 4" xfId="26942"/>
    <cellStyle name="Comma 25 72 5" xfId="31903"/>
    <cellStyle name="Comma 25 72 6" xfId="36761"/>
    <cellStyle name="Comma 25 72 7" xfId="41492"/>
    <cellStyle name="Comma 25 73" xfId="9711"/>
    <cellStyle name="Comma 25 73 2" xfId="16792"/>
    <cellStyle name="Comma 25 73 3" xfId="21909"/>
    <cellStyle name="Comma 25 73 4" xfId="26952"/>
    <cellStyle name="Comma 25 73 5" xfId="31913"/>
    <cellStyle name="Comma 25 73 6" xfId="36771"/>
    <cellStyle name="Comma 25 73 7" xfId="41502"/>
    <cellStyle name="Comma 25 74" xfId="9719"/>
    <cellStyle name="Comma 25 74 2" xfId="16800"/>
    <cellStyle name="Comma 25 74 3" xfId="21917"/>
    <cellStyle name="Comma 25 74 4" xfId="26960"/>
    <cellStyle name="Comma 25 74 5" xfId="31921"/>
    <cellStyle name="Comma 25 74 6" xfId="36779"/>
    <cellStyle name="Comma 25 74 7" xfId="41510"/>
    <cellStyle name="Comma 25 75" xfId="10001"/>
    <cellStyle name="Comma 25 75 2" xfId="17082"/>
    <cellStyle name="Comma 25 75 3" xfId="22199"/>
    <cellStyle name="Comma 25 75 4" xfId="27242"/>
    <cellStyle name="Comma 25 75 5" xfId="32203"/>
    <cellStyle name="Comma 25 75 6" xfId="37061"/>
    <cellStyle name="Comma 25 75 7" xfId="41792"/>
    <cellStyle name="Comma 25 76" xfId="10011"/>
    <cellStyle name="Comma 25 76 2" xfId="17092"/>
    <cellStyle name="Comma 25 76 3" xfId="22209"/>
    <cellStyle name="Comma 25 76 4" xfId="27252"/>
    <cellStyle name="Comma 25 76 5" xfId="32213"/>
    <cellStyle name="Comma 25 76 6" xfId="37071"/>
    <cellStyle name="Comma 25 76 7" xfId="41802"/>
    <cellStyle name="Comma 25 77" xfId="10021"/>
    <cellStyle name="Comma 25 77 2" xfId="17102"/>
    <cellStyle name="Comma 25 77 3" xfId="22219"/>
    <cellStyle name="Comma 25 77 4" xfId="27262"/>
    <cellStyle name="Comma 25 77 5" xfId="32223"/>
    <cellStyle name="Comma 25 77 6" xfId="37081"/>
    <cellStyle name="Comma 25 77 7" xfId="41812"/>
    <cellStyle name="Comma 25 78" xfId="10031"/>
    <cellStyle name="Comma 25 78 2" xfId="17112"/>
    <cellStyle name="Comma 25 78 3" xfId="22229"/>
    <cellStyle name="Comma 25 78 4" xfId="27272"/>
    <cellStyle name="Comma 25 78 5" xfId="32233"/>
    <cellStyle name="Comma 25 78 6" xfId="37091"/>
    <cellStyle name="Comma 25 78 7" xfId="41822"/>
    <cellStyle name="Comma 25 79" xfId="10041"/>
    <cellStyle name="Comma 25 79 2" xfId="17122"/>
    <cellStyle name="Comma 25 79 3" xfId="22239"/>
    <cellStyle name="Comma 25 79 4" xfId="27282"/>
    <cellStyle name="Comma 25 79 5" xfId="32243"/>
    <cellStyle name="Comma 25 79 6" xfId="37101"/>
    <cellStyle name="Comma 25 79 7" xfId="41832"/>
    <cellStyle name="Comma 25 8" xfId="4649"/>
    <cellStyle name="Comma 25 8 2" xfId="6570"/>
    <cellStyle name="Comma 25 8 3" xfId="18688"/>
    <cellStyle name="Comma 25 8 4" xfId="23731"/>
    <cellStyle name="Comma 25 8 5" xfId="28692"/>
    <cellStyle name="Comma 25 8 6" xfId="33550"/>
    <cellStyle name="Comma 25 8 7" xfId="38281"/>
    <cellStyle name="Comma 25 80" xfId="10049"/>
    <cellStyle name="Comma 25 80 2" xfId="17130"/>
    <cellStyle name="Comma 25 80 3" xfId="22247"/>
    <cellStyle name="Comma 25 80 4" xfId="27290"/>
    <cellStyle name="Comma 25 80 5" xfId="32251"/>
    <cellStyle name="Comma 25 80 6" xfId="37109"/>
    <cellStyle name="Comma 25 80 7" xfId="41840"/>
    <cellStyle name="Comma 25 81" xfId="10331"/>
    <cellStyle name="Comma 25 81 2" xfId="17412"/>
    <cellStyle name="Comma 25 81 3" xfId="22529"/>
    <cellStyle name="Comma 25 81 4" xfId="27572"/>
    <cellStyle name="Comma 25 81 5" xfId="32533"/>
    <cellStyle name="Comma 25 81 6" xfId="37391"/>
    <cellStyle name="Comma 25 81 7" xfId="42122"/>
    <cellStyle name="Comma 25 82" xfId="10341"/>
    <cellStyle name="Comma 25 82 2" xfId="17422"/>
    <cellStyle name="Comma 25 82 3" xfId="22539"/>
    <cellStyle name="Comma 25 82 4" xfId="27582"/>
    <cellStyle name="Comma 25 82 5" xfId="32543"/>
    <cellStyle name="Comma 25 82 6" xfId="37401"/>
    <cellStyle name="Comma 25 82 7" xfId="42132"/>
    <cellStyle name="Comma 25 83" xfId="10351"/>
    <cellStyle name="Comma 25 83 2" xfId="17432"/>
    <cellStyle name="Comma 25 83 3" xfId="22549"/>
    <cellStyle name="Comma 25 83 4" xfId="27592"/>
    <cellStyle name="Comma 25 83 5" xfId="32553"/>
    <cellStyle name="Comma 25 83 6" xfId="37411"/>
    <cellStyle name="Comma 25 83 7" xfId="42142"/>
    <cellStyle name="Comma 25 84" xfId="10361"/>
    <cellStyle name="Comma 25 84 2" xfId="17442"/>
    <cellStyle name="Comma 25 84 3" xfId="22559"/>
    <cellStyle name="Comma 25 84 4" xfId="27602"/>
    <cellStyle name="Comma 25 84 5" xfId="32563"/>
    <cellStyle name="Comma 25 84 6" xfId="37421"/>
    <cellStyle name="Comma 25 84 7" xfId="42152"/>
    <cellStyle name="Comma 25 85" xfId="10371"/>
    <cellStyle name="Comma 25 85 2" xfId="17452"/>
    <cellStyle name="Comma 25 85 3" xfId="22569"/>
    <cellStyle name="Comma 25 85 4" xfId="27612"/>
    <cellStyle name="Comma 25 85 5" xfId="32573"/>
    <cellStyle name="Comma 25 85 6" xfId="37431"/>
    <cellStyle name="Comma 25 85 7" xfId="42162"/>
    <cellStyle name="Comma 25 86" xfId="10379"/>
    <cellStyle name="Comma 25 86 2" xfId="17460"/>
    <cellStyle name="Comma 25 86 3" xfId="22577"/>
    <cellStyle name="Comma 25 86 4" xfId="27620"/>
    <cellStyle name="Comma 25 86 5" xfId="32581"/>
    <cellStyle name="Comma 25 86 6" xfId="37439"/>
    <cellStyle name="Comma 25 86 7" xfId="42170"/>
    <cellStyle name="Comma 25 87" xfId="14197"/>
    <cellStyle name="Comma 25 88" xfId="17898"/>
    <cellStyle name="Comma 25 89" xfId="22941"/>
    <cellStyle name="Comma 25 9" xfId="4657"/>
    <cellStyle name="Comma 25 9 2" xfId="6581"/>
    <cellStyle name="Comma 25 9 3" xfId="18699"/>
    <cellStyle name="Comma 25 9 4" xfId="23742"/>
    <cellStyle name="Comma 25 9 5" xfId="28703"/>
    <cellStyle name="Comma 25 9 6" xfId="33561"/>
    <cellStyle name="Comma 25 9 7" xfId="38292"/>
    <cellStyle name="Comma 25 90" xfId="27902"/>
    <cellStyle name="Comma 25 91" xfId="32760"/>
    <cellStyle name="Comma 25 92" xfId="37491"/>
    <cellStyle name="Comma 3" xfId="3488"/>
    <cellStyle name="Comma 3 2" xfId="13728"/>
    <cellStyle name="Comma 3 3" xfId="17477"/>
    <cellStyle name="Comma 3 4" xfId="22588"/>
    <cellStyle name="Comma 3 5" xfId="27626"/>
    <cellStyle name="Comma 3 6" xfId="32585"/>
    <cellStyle name="Comma 3 7" xfId="37443"/>
    <cellStyle name="Comma 31" xfId="5485"/>
    <cellStyle name="Comma 32" xfId="7875"/>
    <cellStyle name="Comma 32 2" xfId="14955"/>
    <cellStyle name="Comma 32 3" xfId="20072"/>
    <cellStyle name="Comma 32 4" xfId="25115"/>
    <cellStyle name="Comma 32 5" xfId="30076"/>
    <cellStyle name="Comma 32 6" xfId="34934"/>
    <cellStyle name="Comma 32 7" xfId="39665"/>
    <cellStyle name="Comma 4" xfId="348"/>
    <cellStyle name="Comma 4 10" xfId="17708"/>
    <cellStyle name="Comma 4 2" xfId="10559"/>
    <cellStyle name="Comma 4 3" xfId="10872"/>
    <cellStyle name="Comma 4 4" xfId="11156"/>
    <cellStyle name="Comma 4 5" xfId="11548"/>
    <cellStyle name="Comma 4 6" xfId="13035"/>
    <cellStyle name="Comma 4 7" xfId="12908"/>
    <cellStyle name="Comma 4 8" xfId="13196"/>
    <cellStyle name="Comma 4 9" xfId="13985"/>
    <cellStyle name="Comma 5" xfId="351"/>
    <cellStyle name="Comma 5 10" xfId="13385"/>
    <cellStyle name="Comma 5 2" xfId="10562"/>
    <cellStyle name="Comma 5 3" xfId="10875"/>
    <cellStyle name="Comma 5 4" xfId="11159"/>
    <cellStyle name="Comma 5 5" xfId="11551"/>
    <cellStyle name="Comma 5 6" xfId="13058"/>
    <cellStyle name="Comma 5 7" xfId="11881"/>
    <cellStyle name="Comma 5 8" xfId="11831"/>
    <cellStyle name="Comma 5 9" xfId="12506"/>
    <cellStyle name="Comma 6" xfId="353"/>
    <cellStyle name="Comma 6 10" xfId="13914"/>
    <cellStyle name="Comma 6 2" xfId="10564"/>
    <cellStyle name="Comma 6 3" xfId="10877"/>
    <cellStyle name="Comma 6 4" xfId="11161"/>
    <cellStyle name="Comma 6 5" xfId="11553"/>
    <cellStyle name="Comma 6 6" xfId="12231"/>
    <cellStyle name="Comma 6 7" xfId="11772"/>
    <cellStyle name="Comma 6 8" xfId="13535"/>
    <cellStyle name="Comma 6 9" xfId="11862"/>
    <cellStyle name="Comma 7" xfId="202"/>
    <cellStyle name="Comma 7 10" xfId="12351"/>
    <cellStyle name="Comma 7 2" xfId="10401"/>
    <cellStyle name="Comma 7 3" xfId="10714"/>
    <cellStyle name="Comma 7 4" xfId="10998"/>
    <cellStyle name="Comma 7 5" xfId="11402"/>
    <cellStyle name="Comma 7 6" xfId="12457"/>
    <cellStyle name="Comma 7 7" xfId="13599"/>
    <cellStyle name="Comma 7 8" xfId="13541"/>
    <cellStyle name="Comma 7 9" xfId="11631"/>
    <cellStyle name="Comma 8" xfId="203"/>
    <cellStyle name="Comma 8 10" xfId="32738"/>
    <cellStyle name="Comma 8 2" xfId="10403"/>
    <cellStyle name="Comma 8 3" xfId="10716"/>
    <cellStyle name="Comma 8 4" xfId="11000"/>
    <cellStyle name="Comma 8 5" xfId="11403"/>
    <cellStyle name="Comma 8 6" xfId="14141"/>
    <cellStyle name="Comma 8 7" xfId="17846"/>
    <cellStyle name="Comma 8 8" xfId="22901"/>
    <cellStyle name="Comma 8 9" xfId="27869"/>
    <cellStyle name="Comma 9" xfId="204"/>
    <cellStyle name="Comma 9 10" xfId="32700"/>
    <cellStyle name="Comma 9 2" xfId="10405"/>
    <cellStyle name="Comma 9 3" xfId="10718"/>
    <cellStyle name="Comma 9 4" xfId="11002"/>
    <cellStyle name="Comma 9 5" xfId="11404"/>
    <cellStyle name="Comma 9 6" xfId="14041"/>
    <cellStyle name="Comma 9 7" xfId="17758"/>
    <cellStyle name="Comma 9 8" xfId="22826"/>
    <cellStyle name="Comma 9 9" xfId="27813"/>
    <cellStyle name="Comma_B Schedule Municipal Adjustments Budget - 23 March 2009 cb" xfId="29"/>
    <cellStyle name="Currency 5" xfId="4173"/>
    <cellStyle name="Currency 5 10" xfId="4714"/>
    <cellStyle name="Currency 5 10 2" xfId="6589"/>
    <cellStyle name="Currency 5 10 3" xfId="18707"/>
    <cellStyle name="Currency 5 10 4" xfId="23750"/>
    <cellStyle name="Currency 5 10 5" xfId="28711"/>
    <cellStyle name="Currency 5 10 6" xfId="33569"/>
    <cellStyle name="Currency 5 10 7" xfId="38300"/>
    <cellStyle name="Currency 5 11" xfId="4931"/>
    <cellStyle name="Currency 5 11 2" xfId="6599"/>
    <cellStyle name="Currency 5 11 3" xfId="18717"/>
    <cellStyle name="Currency 5 11 4" xfId="23760"/>
    <cellStyle name="Currency 5 11 5" xfId="28721"/>
    <cellStyle name="Currency 5 11 6" xfId="33579"/>
    <cellStyle name="Currency 5 11 7" xfId="38310"/>
    <cellStyle name="Currency 5 12" xfId="4941"/>
    <cellStyle name="Currency 5 12 2" xfId="6609"/>
    <cellStyle name="Currency 5 12 3" xfId="18727"/>
    <cellStyle name="Currency 5 12 4" xfId="23770"/>
    <cellStyle name="Currency 5 12 5" xfId="28731"/>
    <cellStyle name="Currency 5 12 6" xfId="33589"/>
    <cellStyle name="Currency 5 12 7" xfId="38320"/>
    <cellStyle name="Currency 5 13" xfId="4951"/>
    <cellStyle name="Currency 5 13 2" xfId="6619"/>
    <cellStyle name="Currency 5 13 3" xfId="18737"/>
    <cellStyle name="Currency 5 13 4" xfId="23780"/>
    <cellStyle name="Currency 5 13 5" xfId="28741"/>
    <cellStyle name="Currency 5 13 6" xfId="33599"/>
    <cellStyle name="Currency 5 13 7" xfId="38330"/>
    <cellStyle name="Currency 5 14" xfId="4959"/>
    <cellStyle name="Currency 5 14 2" xfId="6629"/>
    <cellStyle name="Currency 5 14 3" xfId="18747"/>
    <cellStyle name="Currency 5 14 4" xfId="23790"/>
    <cellStyle name="Currency 5 14 5" xfId="28751"/>
    <cellStyle name="Currency 5 14 6" xfId="33609"/>
    <cellStyle name="Currency 5 14 7" xfId="38340"/>
    <cellStyle name="Currency 5 15" xfId="5151"/>
    <cellStyle name="Currency 5 15 2" xfId="6639"/>
    <cellStyle name="Currency 5 15 3" xfId="18757"/>
    <cellStyle name="Currency 5 15 4" xfId="23800"/>
    <cellStyle name="Currency 5 15 5" xfId="28761"/>
    <cellStyle name="Currency 5 15 6" xfId="33619"/>
    <cellStyle name="Currency 5 15 7" xfId="38350"/>
    <cellStyle name="Currency 5 16" xfId="5161"/>
    <cellStyle name="Currency 5 16 2" xfId="6649"/>
    <cellStyle name="Currency 5 16 3" xfId="18767"/>
    <cellStyle name="Currency 5 16 4" xfId="23810"/>
    <cellStyle name="Currency 5 16 5" xfId="28771"/>
    <cellStyle name="Currency 5 16 6" xfId="33629"/>
    <cellStyle name="Currency 5 16 7" xfId="38360"/>
    <cellStyle name="Currency 5 17" xfId="5171"/>
    <cellStyle name="Currency 5 17 2" xfId="6657"/>
    <cellStyle name="Currency 5 17 3" xfId="18775"/>
    <cellStyle name="Currency 5 17 4" xfId="23818"/>
    <cellStyle name="Currency 5 17 5" xfId="28779"/>
    <cellStyle name="Currency 5 17 6" xfId="33637"/>
    <cellStyle name="Currency 5 17 7" xfId="38368"/>
    <cellStyle name="Currency 5 18" xfId="5179"/>
    <cellStyle name="Currency 5 18 2" xfId="6847"/>
    <cellStyle name="Currency 5 18 3" xfId="18968"/>
    <cellStyle name="Currency 5 18 4" xfId="24011"/>
    <cellStyle name="Currency 5 18 5" xfId="28972"/>
    <cellStyle name="Currency 5 18 6" xfId="33830"/>
    <cellStyle name="Currency 5 18 7" xfId="38561"/>
    <cellStyle name="Currency 5 19" xfId="5602"/>
    <cellStyle name="Currency 5 19 2" xfId="6857"/>
    <cellStyle name="Currency 5 19 3" xfId="18978"/>
    <cellStyle name="Currency 5 19 4" xfId="24021"/>
    <cellStyle name="Currency 5 19 5" xfId="28982"/>
    <cellStyle name="Currency 5 19 6" xfId="33840"/>
    <cellStyle name="Currency 5 19 7" xfId="38571"/>
    <cellStyle name="Currency 5 2" xfId="4360"/>
    <cellStyle name="Currency 5 2 2" xfId="5800"/>
    <cellStyle name="Currency 5 2 3" xfId="18604"/>
    <cellStyle name="Currency 5 2 4" xfId="23647"/>
    <cellStyle name="Currency 5 2 5" xfId="28608"/>
    <cellStyle name="Currency 5 2 6" xfId="33466"/>
    <cellStyle name="Currency 5 2 7" xfId="38197"/>
    <cellStyle name="Currency 5 20" xfId="5613"/>
    <cellStyle name="Currency 5 20 2" xfId="6867"/>
    <cellStyle name="Currency 5 20 3" xfId="18988"/>
    <cellStyle name="Currency 5 20 4" xfId="24031"/>
    <cellStyle name="Currency 5 20 5" xfId="28992"/>
    <cellStyle name="Currency 5 20 6" xfId="33850"/>
    <cellStyle name="Currency 5 20 7" xfId="38581"/>
    <cellStyle name="Currency 5 21" xfId="5623"/>
    <cellStyle name="Currency 5 21 2" xfId="6875"/>
    <cellStyle name="Currency 5 21 3" xfId="18996"/>
    <cellStyle name="Currency 5 21 4" xfId="24039"/>
    <cellStyle name="Currency 5 21 5" xfId="29000"/>
    <cellStyle name="Currency 5 21 6" xfId="33858"/>
    <cellStyle name="Currency 5 21 7" xfId="38589"/>
    <cellStyle name="Currency 5 22" xfId="5633"/>
    <cellStyle name="Currency 5 22 2" xfId="7371"/>
    <cellStyle name="Currency 5 22 3" xfId="19544"/>
    <cellStyle name="Currency 5 22 4" xfId="24587"/>
    <cellStyle name="Currency 5 22 5" xfId="29548"/>
    <cellStyle name="Currency 5 22 6" xfId="34406"/>
    <cellStyle name="Currency 5 22 7" xfId="39137"/>
    <cellStyle name="Currency 5 23" xfId="5643"/>
    <cellStyle name="Currency 5 23 2" xfId="7383"/>
    <cellStyle name="Currency 5 23 3" xfId="19556"/>
    <cellStyle name="Currency 5 23 4" xfId="24599"/>
    <cellStyle name="Currency 5 23 5" xfId="29560"/>
    <cellStyle name="Currency 5 23 6" xfId="34418"/>
    <cellStyle name="Currency 5 23 7" xfId="39149"/>
    <cellStyle name="Currency 5 24" xfId="5653"/>
    <cellStyle name="Currency 5 24 2" xfId="7395"/>
    <cellStyle name="Currency 5 24 3" xfId="19568"/>
    <cellStyle name="Currency 5 24 4" xfId="24611"/>
    <cellStyle name="Currency 5 24 5" xfId="29572"/>
    <cellStyle name="Currency 5 24 6" xfId="34430"/>
    <cellStyle name="Currency 5 24 7" xfId="39161"/>
    <cellStyle name="Currency 5 25" xfId="5663"/>
    <cellStyle name="Currency 5 25 2" xfId="7406"/>
    <cellStyle name="Currency 5 25 3" xfId="19579"/>
    <cellStyle name="Currency 5 25 4" xfId="24622"/>
    <cellStyle name="Currency 5 25 5" xfId="29583"/>
    <cellStyle name="Currency 5 25 6" xfId="34441"/>
    <cellStyle name="Currency 5 25 7" xfId="39172"/>
    <cellStyle name="Currency 5 26" xfId="5673"/>
    <cellStyle name="Currency 5 26 2" xfId="7416"/>
    <cellStyle name="Currency 5 26 3" xfId="19589"/>
    <cellStyle name="Currency 5 26 4" xfId="24632"/>
    <cellStyle name="Currency 5 26 5" xfId="29593"/>
    <cellStyle name="Currency 5 26 6" xfId="34451"/>
    <cellStyle name="Currency 5 26 7" xfId="39182"/>
    <cellStyle name="Currency 5 27" xfId="5681"/>
    <cellStyle name="Currency 5 27 2" xfId="7424"/>
    <cellStyle name="Currency 5 27 3" xfId="19599"/>
    <cellStyle name="Currency 5 27 4" xfId="24642"/>
    <cellStyle name="Currency 5 27 5" xfId="29603"/>
    <cellStyle name="Currency 5 27 6" xfId="34461"/>
    <cellStyle name="Currency 5 27 7" xfId="39192"/>
    <cellStyle name="Currency 5 28" xfId="5694"/>
    <cellStyle name="Currency 5 28 2" xfId="14492"/>
    <cellStyle name="Currency 5 28 3" xfId="19609"/>
    <cellStyle name="Currency 5 28 4" xfId="24652"/>
    <cellStyle name="Currency 5 28 5" xfId="29613"/>
    <cellStyle name="Currency 5 28 6" xfId="34471"/>
    <cellStyle name="Currency 5 28 7" xfId="39202"/>
    <cellStyle name="Currency 5 29" xfId="5701"/>
    <cellStyle name="Currency 5 29 2" xfId="14502"/>
    <cellStyle name="Currency 5 29 3" xfId="19619"/>
    <cellStyle name="Currency 5 29 4" xfId="24662"/>
    <cellStyle name="Currency 5 29 5" xfId="29623"/>
    <cellStyle name="Currency 5 29 6" xfId="34481"/>
    <cellStyle name="Currency 5 29 7" xfId="39212"/>
    <cellStyle name="Currency 5 3" xfId="4368"/>
    <cellStyle name="Currency 5 3 2" xfId="6502"/>
    <cellStyle name="Currency 5 3 3" xfId="18620"/>
    <cellStyle name="Currency 5 3 4" xfId="23663"/>
    <cellStyle name="Currency 5 3 5" xfId="28624"/>
    <cellStyle name="Currency 5 3 6" xfId="33482"/>
    <cellStyle name="Currency 5 3 7" xfId="38213"/>
    <cellStyle name="Currency 5 30" xfId="7438"/>
    <cellStyle name="Currency 5 30 2" xfId="14512"/>
    <cellStyle name="Currency 5 30 3" xfId="19629"/>
    <cellStyle name="Currency 5 30 4" xfId="24672"/>
    <cellStyle name="Currency 5 30 5" xfId="29633"/>
    <cellStyle name="Currency 5 30 6" xfId="34491"/>
    <cellStyle name="Currency 5 30 7" xfId="39222"/>
    <cellStyle name="Currency 5 31" xfId="7448"/>
    <cellStyle name="Currency 5 31 2" xfId="14522"/>
    <cellStyle name="Currency 5 31 3" xfId="19639"/>
    <cellStyle name="Currency 5 31 4" xfId="24682"/>
    <cellStyle name="Currency 5 31 5" xfId="29643"/>
    <cellStyle name="Currency 5 31 6" xfId="34501"/>
    <cellStyle name="Currency 5 31 7" xfId="39232"/>
    <cellStyle name="Currency 5 32" xfId="7458"/>
    <cellStyle name="Currency 5 32 2" xfId="14532"/>
    <cellStyle name="Currency 5 32 3" xfId="19649"/>
    <cellStyle name="Currency 5 32 4" xfId="24692"/>
    <cellStyle name="Currency 5 32 5" xfId="29653"/>
    <cellStyle name="Currency 5 32 6" xfId="34511"/>
    <cellStyle name="Currency 5 32 7" xfId="39242"/>
    <cellStyle name="Currency 5 33" xfId="7466"/>
    <cellStyle name="Currency 5 33 2" xfId="14540"/>
    <cellStyle name="Currency 5 33 3" xfId="19657"/>
    <cellStyle name="Currency 5 33 4" xfId="24700"/>
    <cellStyle name="Currency 5 33 5" xfId="29661"/>
    <cellStyle name="Currency 5 33 6" xfId="34519"/>
    <cellStyle name="Currency 5 33 7" xfId="39250"/>
    <cellStyle name="Currency 5 34" xfId="8093"/>
    <cellStyle name="Currency 5 34 2" xfId="15173"/>
    <cellStyle name="Currency 5 34 3" xfId="20290"/>
    <cellStyle name="Currency 5 34 4" xfId="25333"/>
    <cellStyle name="Currency 5 34 5" xfId="30294"/>
    <cellStyle name="Currency 5 34 6" xfId="35152"/>
    <cellStyle name="Currency 5 34 7" xfId="39883"/>
    <cellStyle name="Currency 5 35" xfId="8107"/>
    <cellStyle name="Currency 5 35 2" xfId="15187"/>
    <cellStyle name="Currency 5 35 3" xfId="20304"/>
    <cellStyle name="Currency 5 35 4" xfId="25347"/>
    <cellStyle name="Currency 5 35 5" xfId="30308"/>
    <cellStyle name="Currency 5 35 6" xfId="35166"/>
    <cellStyle name="Currency 5 35 7" xfId="39897"/>
    <cellStyle name="Currency 5 36" xfId="8120"/>
    <cellStyle name="Currency 5 36 2" xfId="15200"/>
    <cellStyle name="Currency 5 36 3" xfId="20317"/>
    <cellStyle name="Currency 5 36 4" xfId="25360"/>
    <cellStyle name="Currency 5 36 5" xfId="30321"/>
    <cellStyle name="Currency 5 36 6" xfId="35179"/>
    <cellStyle name="Currency 5 36 7" xfId="39910"/>
    <cellStyle name="Currency 5 37" xfId="8132"/>
    <cellStyle name="Currency 5 37 2" xfId="15212"/>
    <cellStyle name="Currency 5 37 3" xfId="20329"/>
    <cellStyle name="Currency 5 37 4" xfId="25372"/>
    <cellStyle name="Currency 5 37 5" xfId="30333"/>
    <cellStyle name="Currency 5 37 6" xfId="35191"/>
    <cellStyle name="Currency 5 37 7" xfId="39922"/>
    <cellStyle name="Currency 5 38" xfId="8144"/>
    <cellStyle name="Currency 5 38 2" xfId="15224"/>
    <cellStyle name="Currency 5 38 3" xfId="20341"/>
    <cellStyle name="Currency 5 38 4" xfId="25384"/>
    <cellStyle name="Currency 5 38 5" xfId="30345"/>
    <cellStyle name="Currency 5 38 6" xfId="35203"/>
    <cellStyle name="Currency 5 38 7" xfId="39934"/>
    <cellStyle name="Currency 5 39" xfId="8155"/>
    <cellStyle name="Currency 5 39 2" xfId="15235"/>
    <cellStyle name="Currency 5 39 3" xfId="20352"/>
    <cellStyle name="Currency 5 39 4" xfId="25395"/>
    <cellStyle name="Currency 5 39 5" xfId="30356"/>
    <cellStyle name="Currency 5 39 6" xfId="35214"/>
    <cellStyle name="Currency 5 39 7" xfId="39945"/>
    <cellStyle name="Currency 5 4" xfId="4376"/>
    <cellStyle name="Currency 5 4 2" xfId="6517"/>
    <cellStyle name="Currency 5 4 3" xfId="18635"/>
    <cellStyle name="Currency 5 4 4" xfId="23678"/>
    <cellStyle name="Currency 5 4 5" xfId="28639"/>
    <cellStyle name="Currency 5 4 6" xfId="33497"/>
    <cellStyle name="Currency 5 4 7" xfId="38228"/>
    <cellStyle name="Currency 5 40" xfId="8165"/>
    <cellStyle name="Currency 5 40 2" xfId="15245"/>
    <cellStyle name="Currency 5 40 3" xfId="20362"/>
    <cellStyle name="Currency 5 40 4" xfId="25405"/>
    <cellStyle name="Currency 5 40 5" xfId="30366"/>
    <cellStyle name="Currency 5 40 6" xfId="35224"/>
    <cellStyle name="Currency 5 40 7" xfId="39955"/>
    <cellStyle name="Currency 5 41" xfId="8175"/>
    <cellStyle name="Currency 5 41 2" xfId="15255"/>
    <cellStyle name="Currency 5 41 3" xfId="20372"/>
    <cellStyle name="Currency 5 41 4" xfId="25415"/>
    <cellStyle name="Currency 5 41 5" xfId="30376"/>
    <cellStyle name="Currency 5 41 6" xfId="35234"/>
    <cellStyle name="Currency 5 41 7" xfId="39965"/>
    <cellStyle name="Currency 5 42" xfId="8185"/>
    <cellStyle name="Currency 5 42 2" xfId="15265"/>
    <cellStyle name="Currency 5 42 3" xfId="20382"/>
    <cellStyle name="Currency 5 42 4" xfId="25425"/>
    <cellStyle name="Currency 5 42 5" xfId="30386"/>
    <cellStyle name="Currency 5 42 6" xfId="35244"/>
    <cellStyle name="Currency 5 42 7" xfId="39975"/>
    <cellStyle name="Currency 5 43" xfId="8195"/>
    <cellStyle name="Currency 5 43 2" xfId="15275"/>
    <cellStyle name="Currency 5 43 3" xfId="20392"/>
    <cellStyle name="Currency 5 43 4" xfId="25435"/>
    <cellStyle name="Currency 5 43 5" xfId="30396"/>
    <cellStyle name="Currency 5 43 6" xfId="35254"/>
    <cellStyle name="Currency 5 43 7" xfId="39985"/>
    <cellStyle name="Currency 5 44" xfId="8205"/>
    <cellStyle name="Currency 5 44 2" xfId="15285"/>
    <cellStyle name="Currency 5 44 3" xfId="20402"/>
    <cellStyle name="Currency 5 44 4" xfId="25445"/>
    <cellStyle name="Currency 5 44 5" xfId="30406"/>
    <cellStyle name="Currency 5 44 6" xfId="35264"/>
    <cellStyle name="Currency 5 44 7" xfId="39995"/>
    <cellStyle name="Currency 5 45" xfId="8215"/>
    <cellStyle name="Currency 5 45 2" xfId="15295"/>
    <cellStyle name="Currency 5 45 3" xfId="20412"/>
    <cellStyle name="Currency 5 45 4" xfId="25455"/>
    <cellStyle name="Currency 5 45 5" xfId="30416"/>
    <cellStyle name="Currency 5 45 6" xfId="35274"/>
    <cellStyle name="Currency 5 45 7" xfId="40005"/>
    <cellStyle name="Currency 5 46" xfId="8225"/>
    <cellStyle name="Currency 5 46 2" xfId="15305"/>
    <cellStyle name="Currency 5 46 3" xfId="20422"/>
    <cellStyle name="Currency 5 46 4" xfId="25465"/>
    <cellStyle name="Currency 5 46 5" xfId="30426"/>
    <cellStyle name="Currency 5 46 6" xfId="35284"/>
    <cellStyle name="Currency 5 46 7" xfId="40015"/>
    <cellStyle name="Currency 5 47" xfId="8233"/>
    <cellStyle name="Currency 5 47 2" xfId="15313"/>
    <cellStyle name="Currency 5 47 3" xfId="20430"/>
    <cellStyle name="Currency 5 47 4" xfId="25473"/>
    <cellStyle name="Currency 5 47 5" xfId="30434"/>
    <cellStyle name="Currency 5 47 6" xfId="35292"/>
    <cellStyle name="Currency 5 47 7" xfId="40023"/>
    <cellStyle name="Currency 5 48" xfId="8891"/>
    <cellStyle name="Currency 5 48 2" xfId="15972"/>
    <cellStyle name="Currency 5 48 3" xfId="21089"/>
    <cellStyle name="Currency 5 48 4" xfId="26132"/>
    <cellStyle name="Currency 5 48 5" xfId="31093"/>
    <cellStyle name="Currency 5 48 6" xfId="35951"/>
    <cellStyle name="Currency 5 48 7" xfId="40682"/>
    <cellStyle name="Currency 5 49" xfId="8904"/>
    <cellStyle name="Currency 5 49 2" xfId="15985"/>
    <cellStyle name="Currency 5 49 3" xfId="21102"/>
    <cellStyle name="Currency 5 49 4" xfId="26145"/>
    <cellStyle name="Currency 5 49 5" xfId="31106"/>
    <cellStyle name="Currency 5 49 6" xfId="35964"/>
    <cellStyle name="Currency 5 49 7" xfId="40695"/>
    <cellStyle name="Currency 5 5" xfId="4432"/>
    <cellStyle name="Currency 5 5 2" xfId="6531"/>
    <cellStyle name="Currency 5 5 3" xfId="18649"/>
    <cellStyle name="Currency 5 5 4" xfId="23692"/>
    <cellStyle name="Currency 5 5 5" xfId="28653"/>
    <cellStyle name="Currency 5 5 6" xfId="33511"/>
    <cellStyle name="Currency 5 5 7" xfId="38242"/>
    <cellStyle name="Currency 5 50" xfId="8918"/>
    <cellStyle name="Currency 5 50 2" xfId="15999"/>
    <cellStyle name="Currency 5 50 3" xfId="21116"/>
    <cellStyle name="Currency 5 50 4" xfId="26159"/>
    <cellStyle name="Currency 5 50 5" xfId="31120"/>
    <cellStyle name="Currency 5 50 6" xfId="35978"/>
    <cellStyle name="Currency 5 50 7" xfId="40709"/>
    <cellStyle name="Currency 5 51" xfId="8934"/>
    <cellStyle name="Currency 5 51 2" xfId="16015"/>
    <cellStyle name="Currency 5 51 3" xfId="21132"/>
    <cellStyle name="Currency 5 51 4" xfId="26175"/>
    <cellStyle name="Currency 5 51 5" xfId="31136"/>
    <cellStyle name="Currency 5 51 6" xfId="35994"/>
    <cellStyle name="Currency 5 51 7" xfId="40725"/>
    <cellStyle name="Currency 5 52" xfId="8949"/>
    <cellStyle name="Currency 5 52 2" xfId="16030"/>
    <cellStyle name="Currency 5 52 3" xfId="21147"/>
    <cellStyle name="Currency 5 52 4" xfId="26190"/>
    <cellStyle name="Currency 5 52 5" xfId="31151"/>
    <cellStyle name="Currency 5 52 6" xfId="36009"/>
    <cellStyle name="Currency 5 52 7" xfId="40740"/>
    <cellStyle name="Currency 5 53" xfId="8963"/>
    <cellStyle name="Currency 5 53 2" xfId="16044"/>
    <cellStyle name="Currency 5 53 3" xfId="21161"/>
    <cellStyle name="Currency 5 53 4" xfId="26204"/>
    <cellStyle name="Currency 5 53 5" xfId="31165"/>
    <cellStyle name="Currency 5 53 6" xfId="36023"/>
    <cellStyle name="Currency 5 53 7" xfId="40754"/>
    <cellStyle name="Currency 5 54" xfId="8977"/>
    <cellStyle name="Currency 5 54 2" xfId="16058"/>
    <cellStyle name="Currency 5 54 3" xfId="21175"/>
    <cellStyle name="Currency 5 54 4" xfId="26218"/>
    <cellStyle name="Currency 5 54 5" xfId="31179"/>
    <cellStyle name="Currency 5 54 6" xfId="36037"/>
    <cellStyle name="Currency 5 54 7" xfId="40768"/>
    <cellStyle name="Currency 5 55" xfId="8989"/>
    <cellStyle name="Currency 5 55 2" xfId="16070"/>
    <cellStyle name="Currency 5 55 3" xfId="21187"/>
    <cellStyle name="Currency 5 55 4" xfId="26230"/>
    <cellStyle name="Currency 5 55 5" xfId="31191"/>
    <cellStyle name="Currency 5 55 6" xfId="36049"/>
    <cellStyle name="Currency 5 55 7" xfId="40780"/>
    <cellStyle name="Currency 5 56" xfId="8999"/>
    <cellStyle name="Currency 5 56 2" xfId="16080"/>
    <cellStyle name="Currency 5 56 3" xfId="21197"/>
    <cellStyle name="Currency 5 56 4" xfId="26240"/>
    <cellStyle name="Currency 5 56 5" xfId="31201"/>
    <cellStyle name="Currency 5 56 6" xfId="36059"/>
    <cellStyle name="Currency 5 56 7" xfId="40790"/>
    <cellStyle name="Currency 5 57" xfId="9009"/>
    <cellStyle name="Currency 5 57 2" xfId="16090"/>
    <cellStyle name="Currency 5 57 3" xfId="21207"/>
    <cellStyle name="Currency 5 57 4" xfId="26250"/>
    <cellStyle name="Currency 5 57 5" xfId="31211"/>
    <cellStyle name="Currency 5 57 6" xfId="36069"/>
    <cellStyle name="Currency 5 57 7" xfId="40800"/>
    <cellStyle name="Currency 5 58" xfId="9019"/>
    <cellStyle name="Currency 5 58 2" xfId="16100"/>
    <cellStyle name="Currency 5 58 3" xfId="21217"/>
    <cellStyle name="Currency 5 58 4" xfId="26260"/>
    <cellStyle name="Currency 5 58 5" xfId="31221"/>
    <cellStyle name="Currency 5 58 6" xfId="36079"/>
    <cellStyle name="Currency 5 58 7" xfId="40810"/>
    <cellStyle name="Currency 5 59" xfId="9029"/>
    <cellStyle name="Currency 5 59 2" xfId="16110"/>
    <cellStyle name="Currency 5 59 3" xfId="21227"/>
    <cellStyle name="Currency 5 59 4" xfId="26270"/>
    <cellStyle name="Currency 5 59 5" xfId="31231"/>
    <cellStyle name="Currency 5 59 6" xfId="36089"/>
    <cellStyle name="Currency 5 59 7" xfId="40820"/>
    <cellStyle name="Currency 5 6" xfId="4488"/>
    <cellStyle name="Currency 5 6 2" xfId="6544"/>
    <cellStyle name="Currency 5 6 3" xfId="18662"/>
    <cellStyle name="Currency 5 6 4" xfId="23705"/>
    <cellStyle name="Currency 5 6 5" xfId="28666"/>
    <cellStyle name="Currency 5 6 6" xfId="33524"/>
    <cellStyle name="Currency 5 6 7" xfId="38255"/>
    <cellStyle name="Currency 5 60" xfId="9039"/>
    <cellStyle name="Currency 5 60 2" xfId="16120"/>
    <cellStyle name="Currency 5 60 3" xfId="21237"/>
    <cellStyle name="Currency 5 60 4" xfId="26280"/>
    <cellStyle name="Currency 5 60 5" xfId="31241"/>
    <cellStyle name="Currency 5 60 6" xfId="36099"/>
    <cellStyle name="Currency 5 60 7" xfId="40830"/>
    <cellStyle name="Currency 5 61" xfId="9049"/>
    <cellStyle name="Currency 5 61 2" xfId="16130"/>
    <cellStyle name="Currency 5 61 3" xfId="21247"/>
    <cellStyle name="Currency 5 61 4" xfId="26290"/>
    <cellStyle name="Currency 5 61 5" xfId="31251"/>
    <cellStyle name="Currency 5 61 6" xfId="36109"/>
    <cellStyle name="Currency 5 61 7" xfId="40840"/>
    <cellStyle name="Currency 5 62" xfId="9057"/>
    <cellStyle name="Currency 5 62 2" xfId="16138"/>
    <cellStyle name="Currency 5 62 3" xfId="21255"/>
    <cellStyle name="Currency 5 62 4" xfId="26298"/>
    <cellStyle name="Currency 5 62 5" xfId="31259"/>
    <cellStyle name="Currency 5 62 6" xfId="36117"/>
    <cellStyle name="Currency 5 62 7" xfId="40848"/>
    <cellStyle name="Currency 5 63" xfId="9604"/>
    <cellStyle name="Currency 5 63 2" xfId="16685"/>
    <cellStyle name="Currency 5 63 3" xfId="21802"/>
    <cellStyle name="Currency 5 63 4" xfId="26845"/>
    <cellStyle name="Currency 5 63 5" xfId="31806"/>
    <cellStyle name="Currency 5 63 6" xfId="36664"/>
    <cellStyle name="Currency 5 63 7" xfId="41395"/>
    <cellStyle name="Currency 5 64" xfId="9616"/>
    <cellStyle name="Currency 5 64 2" xfId="16697"/>
    <cellStyle name="Currency 5 64 3" xfId="21814"/>
    <cellStyle name="Currency 5 64 4" xfId="26857"/>
    <cellStyle name="Currency 5 64 5" xfId="31818"/>
    <cellStyle name="Currency 5 64 6" xfId="36676"/>
    <cellStyle name="Currency 5 64 7" xfId="41407"/>
    <cellStyle name="Currency 5 65" xfId="9628"/>
    <cellStyle name="Currency 5 65 2" xfId="16709"/>
    <cellStyle name="Currency 5 65 3" xfId="21826"/>
    <cellStyle name="Currency 5 65 4" xfId="26869"/>
    <cellStyle name="Currency 5 65 5" xfId="31830"/>
    <cellStyle name="Currency 5 65 6" xfId="36688"/>
    <cellStyle name="Currency 5 65 7" xfId="41419"/>
    <cellStyle name="Currency 5 66" xfId="9639"/>
    <cellStyle name="Currency 5 66 2" xfId="16720"/>
    <cellStyle name="Currency 5 66 3" xfId="21837"/>
    <cellStyle name="Currency 5 66 4" xfId="26880"/>
    <cellStyle name="Currency 5 66 5" xfId="31841"/>
    <cellStyle name="Currency 5 66 6" xfId="36699"/>
    <cellStyle name="Currency 5 66 7" xfId="41430"/>
    <cellStyle name="Currency 5 67" xfId="9649"/>
    <cellStyle name="Currency 5 67 2" xfId="16730"/>
    <cellStyle name="Currency 5 67 3" xfId="21847"/>
    <cellStyle name="Currency 5 67 4" xfId="26890"/>
    <cellStyle name="Currency 5 67 5" xfId="31851"/>
    <cellStyle name="Currency 5 67 6" xfId="36709"/>
    <cellStyle name="Currency 5 67 7" xfId="41440"/>
    <cellStyle name="Currency 5 68" xfId="9659"/>
    <cellStyle name="Currency 5 68 2" xfId="16740"/>
    <cellStyle name="Currency 5 68 3" xfId="21857"/>
    <cellStyle name="Currency 5 68 4" xfId="26900"/>
    <cellStyle name="Currency 5 68 5" xfId="31861"/>
    <cellStyle name="Currency 5 68 6" xfId="36719"/>
    <cellStyle name="Currency 5 68 7" xfId="41450"/>
    <cellStyle name="Currency 5 69" xfId="9669"/>
    <cellStyle name="Currency 5 69 2" xfId="16750"/>
    <cellStyle name="Currency 5 69 3" xfId="21867"/>
    <cellStyle name="Currency 5 69 4" xfId="26910"/>
    <cellStyle name="Currency 5 69 5" xfId="31871"/>
    <cellStyle name="Currency 5 69 6" xfId="36729"/>
    <cellStyle name="Currency 5 69 7" xfId="41460"/>
    <cellStyle name="Currency 5 7" xfId="4639"/>
    <cellStyle name="Currency 5 7 2" xfId="6556"/>
    <cellStyle name="Currency 5 7 3" xfId="18674"/>
    <cellStyle name="Currency 5 7 4" xfId="23717"/>
    <cellStyle name="Currency 5 7 5" xfId="28678"/>
    <cellStyle name="Currency 5 7 6" xfId="33536"/>
    <cellStyle name="Currency 5 7 7" xfId="38267"/>
    <cellStyle name="Currency 5 70" xfId="9679"/>
    <cellStyle name="Currency 5 70 2" xfId="16760"/>
    <cellStyle name="Currency 5 70 3" xfId="21877"/>
    <cellStyle name="Currency 5 70 4" xfId="26920"/>
    <cellStyle name="Currency 5 70 5" xfId="31881"/>
    <cellStyle name="Currency 5 70 6" xfId="36739"/>
    <cellStyle name="Currency 5 70 7" xfId="41470"/>
    <cellStyle name="Currency 5 71" xfId="9689"/>
    <cellStyle name="Currency 5 71 2" xfId="16770"/>
    <cellStyle name="Currency 5 71 3" xfId="21887"/>
    <cellStyle name="Currency 5 71 4" xfId="26930"/>
    <cellStyle name="Currency 5 71 5" xfId="31891"/>
    <cellStyle name="Currency 5 71 6" xfId="36749"/>
    <cellStyle name="Currency 5 71 7" xfId="41480"/>
    <cellStyle name="Currency 5 72" xfId="9699"/>
    <cellStyle name="Currency 5 72 2" xfId="16780"/>
    <cellStyle name="Currency 5 72 3" xfId="21897"/>
    <cellStyle name="Currency 5 72 4" xfId="26940"/>
    <cellStyle name="Currency 5 72 5" xfId="31901"/>
    <cellStyle name="Currency 5 72 6" xfId="36759"/>
    <cellStyle name="Currency 5 72 7" xfId="41490"/>
    <cellStyle name="Currency 5 73" xfId="9709"/>
    <cellStyle name="Currency 5 73 2" xfId="16790"/>
    <cellStyle name="Currency 5 73 3" xfId="21907"/>
    <cellStyle name="Currency 5 73 4" xfId="26950"/>
    <cellStyle name="Currency 5 73 5" xfId="31911"/>
    <cellStyle name="Currency 5 73 6" xfId="36769"/>
    <cellStyle name="Currency 5 73 7" xfId="41500"/>
    <cellStyle name="Currency 5 74" xfId="9717"/>
    <cellStyle name="Currency 5 74 2" xfId="16798"/>
    <cellStyle name="Currency 5 74 3" xfId="21915"/>
    <cellStyle name="Currency 5 74 4" xfId="26958"/>
    <cellStyle name="Currency 5 74 5" xfId="31919"/>
    <cellStyle name="Currency 5 74 6" xfId="36777"/>
    <cellStyle name="Currency 5 74 7" xfId="41508"/>
    <cellStyle name="Currency 5 75" xfId="9999"/>
    <cellStyle name="Currency 5 75 2" xfId="17080"/>
    <cellStyle name="Currency 5 75 3" xfId="22197"/>
    <cellStyle name="Currency 5 75 4" xfId="27240"/>
    <cellStyle name="Currency 5 75 5" xfId="32201"/>
    <cellStyle name="Currency 5 75 6" xfId="37059"/>
    <cellStyle name="Currency 5 75 7" xfId="41790"/>
    <cellStyle name="Currency 5 76" xfId="10009"/>
    <cellStyle name="Currency 5 76 2" xfId="17090"/>
    <cellStyle name="Currency 5 76 3" xfId="22207"/>
    <cellStyle name="Currency 5 76 4" xfId="27250"/>
    <cellStyle name="Currency 5 76 5" xfId="32211"/>
    <cellStyle name="Currency 5 76 6" xfId="37069"/>
    <cellStyle name="Currency 5 76 7" xfId="41800"/>
    <cellStyle name="Currency 5 77" xfId="10019"/>
    <cellStyle name="Currency 5 77 2" xfId="17100"/>
    <cellStyle name="Currency 5 77 3" xfId="22217"/>
    <cellStyle name="Currency 5 77 4" xfId="27260"/>
    <cellStyle name="Currency 5 77 5" xfId="32221"/>
    <cellStyle name="Currency 5 77 6" xfId="37079"/>
    <cellStyle name="Currency 5 77 7" xfId="41810"/>
    <cellStyle name="Currency 5 78" xfId="10029"/>
    <cellStyle name="Currency 5 78 2" xfId="17110"/>
    <cellStyle name="Currency 5 78 3" xfId="22227"/>
    <cellStyle name="Currency 5 78 4" xfId="27270"/>
    <cellStyle name="Currency 5 78 5" xfId="32231"/>
    <cellStyle name="Currency 5 78 6" xfId="37089"/>
    <cellStyle name="Currency 5 78 7" xfId="41820"/>
    <cellStyle name="Currency 5 79" xfId="10039"/>
    <cellStyle name="Currency 5 79 2" xfId="17120"/>
    <cellStyle name="Currency 5 79 3" xfId="22237"/>
    <cellStyle name="Currency 5 79 4" xfId="27280"/>
    <cellStyle name="Currency 5 79 5" xfId="32241"/>
    <cellStyle name="Currency 5 79 6" xfId="37099"/>
    <cellStyle name="Currency 5 79 7" xfId="41830"/>
    <cellStyle name="Currency 5 8" xfId="4647"/>
    <cellStyle name="Currency 5 8 2" xfId="6568"/>
    <cellStyle name="Currency 5 8 3" xfId="18686"/>
    <cellStyle name="Currency 5 8 4" xfId="23729"/>
    <cellStyle name="Currency 5 8 5" xfId="28690"/>
    <cellStyle name="Currency 5 8 6" xfId="33548"/>
    <cellStyle name="Currency 5 8 7" xfId="38279"/>
    <cellStyle name="Currency 5 80" xfId="10047"/>
    <cellStyle name="Currency 5 80 2" xfId="17128"/>
    <cellStyle name="Currency 5 80 3" xfId="22245"/>
    <cellStyle name="Currency 5 80 4" xfId="27288"/>
    <cellStyle name="Currency 5 80 5" xfId="32249"/>
    <cellStyle name="Currency 5 80 6" xfId="37107"/>
    <cellStyle name="Currency 5 80 7" xfId="41838"/>
    <cellStyle name="Currency 5 81" xfId="10329"/>
    <cellStyle name="Currency 5 81 2" xfId="17410"/>
    <cellStyle name="Currency 5 81 3" xfId="22527"/>
    <cellStyle name="Currency 5 81 4" xfId="27570"/>
    <cellStyle name="Currency 5 81 5" xfId="32531"/>
    <cellStyle name="Currency 5 81 6" xfId="37389"/>
    <cellStyle name="Currency 5 81 7" xfId="42120"/>
    <cellStyle name="Currency 5 82" xfId="10339"/>
    <cellStyle name="Currency 5 82 2" xfId="17420"/>
    <cellStyle name="Currency 5 82 3" xfId="22537"/>
    <cellStyle name="Currency 5 82 4" xfId="27580"/>
    <cellStyle name="Currency 5 82 5" xfId="32541"/>
    <cellStyle name="Currency 5 82 6" xfId="37399"/>
    <cellStyle name="Currency 5 82 7" xfId="42130"/>
    <cellStyle name="Currency 5 83" xfId="10349"/>
    <cellStyle name="Currency 5 83 2" xfId="17430"/>
    <cellStyle name="Currency 5 83 3" xfId="22547"/>
    <cellStyle name="Currency 5 83 4" xfId="27590"/>
    <cellStyle name="Currency 5 83 5" xfId="32551"/>
    <cellStyle name="Currency 5 83 6" xfId="37409"/>
    <cellStyle name="Currency 5 83 7" xfId="42140"/>
    <cellStyle name="Currency 5 84" xfId="10359"/>
    <cellStyle name="Currency 5 84 2" xfId="17440"/>
    <cellStyle name="Currency 5 84 3" xfId="22557"/>
    <cellStyle name="Currency 5 84 4" xfId="27600"/>
    <cellStyle name="Currency 5 84 5" xfId="32561"/>
    <cellStyle name="Currency 5 84 6" xfId="37419"/>
    <cellStyle name="Currency 5 84 7" xfId="42150"/>
    <cellStyle name="Currency 5 85" xfId="10369"/>
    <cellStyle name="Currency 5 85 2" xfId="17450"/>
    <cellStyle name="Currency 5 85 3" xfId="22567"/>
    <cellStyle name="Currency 5 85 4" xfId="27610"/>
    <cellStyle name="Currency 5 85 5" xfId="32571"/>
    <cellStyle name="Currency 5 85 6" xfId="37429"/>
    <cellStyle name="Currency 5 85 7" xfId="42160"/>
    <cellStyle name="Currency 5 86" xfId="10377"/>
    <cellStyle name="Currency 5 86 2" xfId="17458"/>
    <cellStyle name="Currency 5 86 3" xfId="22575"/>
    <cellStyle name="Currency 5 86 4" xfId="27618"/>
    <cellStyle name="Currency 5 86 5" xfId="32579"/>
    <cellStyle name="Currency 5 86 6" xfId="37437"/>
    <cellStyle name="Currency 5 86 7" xfId="42168"/>
    <cellStyle name="Currency 5 87" xfId="14195"/>
    <cellStyle name="Currency 5 88" xfId="17896"/>
    <cellStyle name="Currency 5 89" xfId="22939"/>
    <cellStyle name="Currency 5 9" xfId="4655"/>
    <cellStyle name="Currency 5 9 2" xfId="6579"/>
    <cellStyle name="Currency 5 9 3" xfId="18697"/>
    <cellStyle name="Currency 5 9 4" xfId="23740"/>
    <cellStyle name="Currency 5 9 5" xfId="28701"/>
    <cellStyle name="Currency 5 9 6" xfId="33559"/>
    <cellStyle name="Currency 5 9 7" xfId="38290"/>
    <cellStyle name="Currency 5 90" xfId="27900"/>
    <cellStyle name="Currency 5 91" xfId="32758"/>
    <cellStyle name="Currency 5 92" xfId="37489"/>
    <cellStyle name="Currency 8" xfId="4177"/>
    <cellStyle name="Currency 8 10" xfId="4718"/>
    <cellStyle name="Currency 8 10 2" xfId="6593"/>
    <cellStyle name="Currency 8 10 3" xfId="18711"/>
    <cellStyle name="Currency 8 10 4" xfId="23754"/>
    <cellStyle name="Currency 8 10 5" xfId="28715"/>
    <cellStyle name="Currency 8 10 6" xfId="33573"/>
    <cellStyle name="Currency 8 10 7" xfId="38304"/>
    <cellStyle name="Currency 8 11" xfId="4935"/>
    <cellStyle name="Currency 8 11 2" xfId="6603"/>
    <cellStyle name="Currency 8 11 3" xfId="18721"/>
    <cellStyle name="Currency 8 11 4" xfId="23764"/>
    <cellStyle name="Currency 8 11 5" xfId="28725"/>
    <cellStyle name="Currency 8 11 6" xfId="33583"/>
    <cellStyle name="Currency 8 11 7" xfId="38314"/>
    <cellStyle name="Currency 8 12" xfId="4945"/>
    <cellStyle name="Currency 8 12 2" xfId="6613"/>
    <cellStyle name="Currency 8 12 3" xfId="18731"/>
    <cellStyle name="Currency 8 12 4" xfId="23774"/>
    <cellStyle name="Currency 8 12 5" xfId="28735"/>
    <cellStyle name="Currency 8 12 6" xfId="33593"/>
    <cellStyle name="Currency 8 12 7" xfId="38324"/>
    <cellStyle name="Currency 8 13" xfId="4955"/>
    <cellStyle name="Currency 8 13 2" xfId="6623"/>
    <cellStyle name="Currency 8 13 3" xfId="18741"/>
    <cellStyle name="Currency 8 13 4" xfId="23784"/>
    <cellStyle name="Currency 8 13 5" xfId="28745"/>
    <cellStyle name="Currency 8 13 6" xfId="33603"/>
    <cellStyle name="Currency 8 13 7" xfId="38334"/>
    <cellStyle name="Currency 8 14" xfId="4963"/>
    <cellStyle name="Currency 8 14 2" xfId="6633"/>
    <cellStyle name="Currency 8 14 3" xfId="18751"/>
    <cellStyle name="Currency 8 14 4" xfId="23794"/>
    <cellStyle name="Currency 8 14 5" xfId="28755"/>
    <cellStyle name="Currency 8 14 6" xfId="33613"/>
    <cellStyle name="Currency 8 14 7" xfId="38344"/>
    <cellStyle name="Currency 8 15" xfId="5155"/>
    <cellStyle name="Currency 8 15 2" xfId="6643"/>
    <cellStyle name="Currency 8 15 3" xfId="18761"/>
    <cellStyle name="Currency 8 15 4" xfId="23804"/>
    <cellStyle name="Currency 8 15 5" xfId="28765"/>
    <cellStyle name="Currency 8 15 6" xfId="33623"/>
    <cellStyle name="Currency 8 15 7" xfId="38354"/>
    <cellStyle name="Currency 8 16" xfId="5165"/>
    <cellStyle name="Currency 8 16 2" xfId="6653"/>
    <cellStyle name="Currency 8 16 3" xfId="18771"/>
    <cellStyle name="Currency 8 16 4" xfId="23814"/>
    <cellStyle name="Currency 8 16 5" xfId="28775"/>
    <cellStyle name="Currency 8 16 6" xfId="33633"/>
    <cellStyle name="Currency 8 16 7" xfId="38364"/>
    <cellStyle name="Currency 8 17" xfId="5175"/>
    <cellStyle name="Currency 8 17 2" xfId="6661"/>
    <cellStyle name="Currency 8 17 3" xfId="18779"/>
    <cellStyle name="Currency 8 17 4" xfId="23822"/>
    <cellStyle name="Currency 8 17 5" xfId="28783"/>
    <cellStyle name="Currency 8 17 6" xfId="33641"/>
    <cellStyle name="Currency 8 17 7" xfId="38372"/>
    <cellStyle name="Currency 8 18" xfId="5183"/>
    <cellStyle name="Currency 8 18 2" xfId="6851"/>
    <cellStyle name="Currency 8 18 3" xfId="18972"/>
    <cellStyle name="Currency 8 18 4" xfId="24015"/>
    <cellStyle name="Currency 8 18 5" xfId="28976"/>
    <cellStyle name="Currency 8 18 6" xfId="33834"/>
    <cellStyle name="Currency 8 18 7" xfId="38565"/>
    <cellStyle name="Currency 8 19" xfId="5606"/>
    <cellStyle name="Currency 8 19 2" xfId="6861"/>
    <cellStyle name="Currency 8 19 3" xfId="18982"/>
    <cellStyle name="Currency 8 19 4" xfId="24025"/>
    <cellStyle name="Currency 8 19 5" xfId="28986"/>
    <cellStyle name="Currency 8 19 6" xfId="33844"/>
    <cellStyle name="Currency 8 19 7" xfId="38575"/>
    <cellStyle name="Currency 8 2" xfId="4364"/>
    <cellStyle name="Currency 8 2 2" xfId="5804"/>
    <cellStyle name="Currency 8 2 3" xfId="18608"/>
    <cellStyle name="Currency 8 2 4" xfId="23651"/>
    <cellStyle name="Currency 8 2 5" xfId="28612"/>
    <cellStyle name="Currency 8 2 6" xfId="33470"/>
    <cellStyle name="Currency 8 2 7" xfId="38201"/>
    <cellStyle name="Currency 8 20" xfId="5617"/>
    <cellStyle name="Currency 8 20 2" xfId="6871"/>
    <cellStyle name="Currency 8 20 3" xfId="18992"/>
    <cellStyle name="Currency 8 20 4" xfId="24035"/>
    <cellStyle name="Currency 8 20 5" xfId="28996"/>
    <cellStyle name="Currency 8 20 6" xfId="33854"/>
    <cellStyle name="Currency 8 20 7" xfId="38585"/>
    <cellStyle name="Currency 8 21" xfId="5627"/>
    <cellStyle name="Currency 8 21 2" xfId="6879"/>
    <cellStyle name="Currency 8 21 3" xfId="19000"/>
    <cellStyle name="Currency 8 21 4" xfId="24043"/>
    <cellStyle name="Currency 8 21 5" xfId="29004"/>
    <cellStyle name="Currency 8 21 6" xfId="33862"/>
    <cellStyle name="Currency 8 21 7" xfId="38593"/>
    <cellStyle name="Currency 8 22" xfId="5637"/>
    <cellStyle name="Currency 8 22 2" xfId="7375"/>
    <cellStyle name="Currency 8 22 3" xfId="19548"/>
    <cellStyle name="Currency 8 22 4" xfId="24591"/>
    <cellStyle name="Currency 8 22 5" xfId="29552"/>
    <cellStyle name="Currency 8 22 6" xfId="34410"/>
    <cellStyle name="Currency 8 22 7" xfId="39141"/>
    <cellStyle name="Currency 8 23" xfId="5647"/>
    <cellStyle name="Currency 8 23 2" xfId="7387"/>
    <cellStyle name="Currency 8 23 3" xfId="19560"/>
    <cellStyle name="Currency 8 23 4" xfId="24603"/>
    <cellStyle name="Currency 8 23 5" xfId="29564"/>
    <cellStyle name="Currency 8 23 6" xfId="34422"/>
    <cellStyle name="Currency 8 23 7" xfId="39153"/>
    <cellStyle name="Currency 8 24" xfId="5657"/>
    <cellStyle name="Currency 8 24 2" xfId="7399"/>
    <cellStyle name="Currency 8 24 3" xfId="19572"/>
    <cellStyle name="Currency 8 24 4" xfId="24615"/>
    <cellStyle name="Currency 8 24 5" xfId="29576"/>
    <cellStyle name="Currency 8 24 6" xfId="34434"/>
    <cellStyle name="Currency 8 24 7" xfId="39165"/>
    <cellStyle name="Currency 8 25" xfId="5667"/>
    <cellStyle name="Currency 8 25 2" xfId="7410"/>
    <cellStyle name="Currency 8 25 3" xfId="19583"/>
    <cellStyle name="Currency 8 25 4" xfId="24626"/>
    <cellStyle name="Currency 8 25 5" xfId="29587"/>
    <cellStyle name="Currency 8 25 6" xfId="34445"/>
    <cellStyle name="Currency 8 25 7" xfId="39176"/>
    <cellStyle name="Currency 8 26" xfId="5677"/>
    <cellStyle name="Currency 8 26 2" xfId="7420"/>
    <cellStyle name="Currency 8 26 3" xfId="19593"/>
    <cellStyle name="Currency 8 26 4" xfId="24636"/>
    <cellStyle name="Currency 8 26 5" xfId="29597"/>
    <cellStyle name="Currency 8 26 6" xfId="34455"/>
    <cellStyle name="Currency 8 26 7" xfId="39186"/>
    <cellStyle name="Currency 8 27" xfId="5685"/>
    <cellStyle name="Currency 8 27 2" xfId="7428"/>
    <cellStyle name="Currency 8 27 3" xfId="19603"/>
    <cellStyle name="Currency 8 27 4" xfId="24646"/>
    <cellStyle name="Currency 8 27 5" xfId="29607"/>
    <cellStyle name="Currency 8 27 6" xfId="34465"/>
    <cellStyle name="Currency 8 27 7" xfId="39196"/>
    <cellStyle name="Currency 8 28" xfId="5695"/>
    <cellStyle name="Currency 8 28 2" xfId="14496"/>
    <cellStyle name="Currency 8 28 3" xfId="19613"/>
    <cellStyle name="Currency 8 28 4" xfId="24656"/>
    <cellStyle name="Currency 8 28 5" xfId="29617"/>
    <cellStyle name="Currency 8 28 6" xfId="34475"/>
    <cellStyle name="Currency 8 28 7" xfId="39206"/>
    <cellStyle name="Currency 8 29" xfId="5700"/>
    <cellStyle name="Currency 8 29 2" xfId="14506"/>
    <cellStyle name="Currency 8 29 3" xfId="19623"/>
    <cellStyle name="Currency 8 29 4" xfId="24666"/>
    <cellStyle name="Currency 8 29 5" xfId="29627"/>
    <cellStyle name="Currency 8 29 6" xfId="34485"/>
    <cellStyle name="Currency 8 29 7" xfId="39216"/>
    <cellStyle name="Currency 8 3" xfId="4372"/>
    <cellStyle name="Currency 8 3 2" xfId="6506"/>
    <cellStyle name="Currency 8 3 3" xfId="18624"/>
    <cellStyle name="Currency 8 3 4" xfId="23667"/>
    <cellStyle name="Currency 8 3 5" xfId="28628"/>
    <cellStyle name="Currency 8 3 6" xfId="33486"/>
    <cellStyle name="Currency 8 3 7" xfId="38217"/>
    <cellStyle name="Currency 8 30" xfId="7442"/>
    <cellStyle name="Currency 8 30 2" xfId="14516"/>
    <cellStyle name="Currency 8 30 3" xfId="19633"/>
    <cellStyle name="Currency 8 30 4" xfId="24676"/>
    <cellStyle name="Currency 8 30 5" xfId="29637"/>
    <cellStyle name="Currency 8 30 6" xfId="34495"/>
    <cellStyle name="Currency 8 30 7" xfId="39226"/>
    <cellStyle name="Currency 8 31" xfId="7452"/>
    <cellStyle name="Currency 8 31 2" xfId="14526"/>
    <cellStyle name="Currency 8 31 3" xfId="19643"/>
    <cellStyle name="Currency 8 31 4" xfId="24686"/>
    <cellStyle name="Currency 8 31 5" xfId="29647"/>
    <cellStyle name="Currency 8 31 6" xfId="34505"/>
    <cellStyle name="Currency 8 31 7" xfId="39236"/>
    <cellStyle name="Currency 8 32" xfId="7462"/>
    <cellStyle name="Currency 8 32 2" xfId="14536"/>
    <cellStyle name="Currency 8 32 3" xfId="19653"/>
    <cellStyle name="Currency 8 32 4" xfId="24696"/>
    <cellStyle name="Currency 8 32 5" xfId="29657"/>
    <cellStyle name="Currency 8 32 6" xfId="34515"/>
    <cellStyle name="Currency 8 32 7" xfId="39246"/>
    <cellStyle name="Currency 8 33" xfId="7470"/>
    <cellStyle name="Currency 8 33 2" xfId="14544"/>
    <cellStyle name="Currency 8 33 3" xfId="19661"/>
    <cellStyle name="Currency 8 33 4" xfId="24704"/>
    <cellStyle name="Currency 8 33 5" xfId="29665"/>
    <cellStyle name="Currency 8 33 6" xfId="34523"/>
    <cellStyle name="Currency 8 33 7" xfId="39254"/>
    <cellStyle name="Currency 8 34" xfId="8097"/>
    <cellStyle name="Currency 8 34 2" xfId="15177"/>
    <cellStyle name="Currency 8 34 3" xfId="20294"/>
    <cellStyle name="Currency 8 34 4" xfId="25337"/>
    <cellStyle name="Currency 8 34 5" xfId="30298"/>
    <cellStyle name="Currency 8 34 6" xfId="35156"/>
    <cellStyle name="Currency 8 34 7" xfId="39887"/>
    <cellStyle name="Currency 8 35" xfId="8111"/>
    <cellStyle name="Currency 8 35 2" xfId="15191"/>
    <cellStyle name="Currency 8 35 3" xfId="20308"/>
    <cellStyle name="Currency 8 35 4" xfId="25351"/>
    <cellStyle name="Currency 8 35 5" xfId="30312"/>
    <cellStyle name="Currency 8 35 6" xfId="35170"/>
    <cellStyle name="Currency 8 35 7" xfId="39901"/>
    <cellStyle name="Currency 8 36" xfId="8124"/>
    <cellStyle name="Currency 8 36 2" xfId="15204"/>
    <cellStyle name="Currency 8 36 3" xfId="20321"/>
    <cellStyle name="Currency 8 36 4" xfId="25364"/>
    <cellStyle name="Currency 8 36 5" xfId="30325"/>
    <cellStyle name="Currency 8 36 6" xfId="35183"/>
    <cellStyle name="Currency 8 36 7" xfId="39914"/>
    <cellStyle name="Currency 8 37" xfId="8136"/>
    <cellStyle name="Currency 8 37 2" xfId="15216"/>
    <cellStyle name="Currency 8 37 3" xfId="20333"/>
    <cellStyle name="Currency 8 37 4" xfId="25376"/>
    <cellStyle name="Currency 8 37 5" xfId="30337"/>
    <cellStyle name="Currency 8 37 6" xfId="35195"/>
    <cellStyle name="Currency 8 37 7" xfId="39926"/>
    <cellStyle name="Currency 8 38" xfId="8148"/>
    <cellStyle name="Currency 8 38 2" xfId="15228"/>
    <cellStyle name="Currency 8 38 3" xfId="20345"/>
    <cellStyle name="Currency 8 38 4" xfId="25388"/>
    <cellStyle name="Currency 8 38 5" xfId="30349"/>
    <cellStyle name="Currency 8 38 6" xfId="35207"/>
    <cellStyle name="Currency 8 38 7" xfId="39938"/>
    <cellStyle name="Currency 8 39" xfId="8159"/>
    <cellStyle name="Currency 8 39 2" xfId="15239"/>
    <cellStyle name="Currency 8 39 3" xfId="20356"/>
    <cellStyle name="Currency 8 39 4" xfId="25399"/>
    <cellStyle name="Currency 8 39 5" xfId="30360"/>
    <cellStyle name="Currency 8 39 6" xfId="35218"/>
    <cellStyle name="Currency 8 39 7" xfId="39949"/>
    <cellStyle name="Currency 8 4" xfId="4380"/>
    <cellStyle name="Currency 8 4 2" xfId="6521"/>
    <cellStyle name="Currency 8 4 3" xfId="18639"/>
    <cellStyle name="Currency 8 4 4" xfId="23682"/>
    <cellStyle name="Currency 8 4 5" xfId="28643"/>
    <cellStyle name="Currency 8 4 6" xfId="33501"/>
    <cellStyle name="Currency 8 4 7" xfId="38232"/>
    <cellStyle name="Currency 8 40" xfId="8169"/>
    <cellStyle name="Currency 8 40 2" xfId="15249"/>
    <cellStyle name="Currency 8 40 3" xfId="20366"/>
    <cellStyle name="Currency 8 40 4" xfId="25409"/>
    <cellStyle name="Currency 8 40 5" xfId="30370"/>
    <cellStyle name="Currency 8 40 6" xfId="35228"/>
    <cellStyle name="Currency 8 40 7" xfId="39959"/>
    <cellStyle name="Currency 8 41" xfId="8179"/>
    <cellStyle name="Currency 8 41 2" xfId="15259"/>
    <cellStyle name="Currency 8 41 3" xfId="20376"/>
    <cellStyle name="Currency 8 41 4" xfId="25419"/>
    <cellStyle name="Currency 8 41 5" xfId="30380"/>
    <cellStyle name="Currency 8 41 6" xfId="35238"/>
    <cellStyle name="Currency 8 41 7" xfId="39969"/>
    <cellStyle name="Currency 8 42" xfId="8189"/>
    <cellStyle name="Currency 8 42 2" xfId="15269"/>
    <cellStyle name="Currency 8 42 3" xfId="20386"/>
    <cellStyle name="Currency 8 42 4" xfId="25429"/>
    <cellStyle name="Currency 8 42 5" xfId="30390"/>
    <cellStyle name="Currency 8 42 6" xfId="35248"/>
    <cellStyle name="Currency 8 42 7" xfId="39979"/>
    <cellStyle name="Currency 8 43" xfId="8199"/>
    <cellStyle name="Currency 8 43 2" xfId="15279"/>
    <cellStyle name="Currency 8 43 3" xfId="20396"/>
    <cellStyle name="Currency 8 43 4" xfId="25439"/>
    <cellStyle name="Currency 8 43 5" xfId="30400"/>
    <cellStyle name="Currency 8 43 6" xfId="35258"/>
    <cellStyle name="Currency 8 43 7" xfId="39989"/>
    <cellStyle name="Currency 8 44" xfId="8209"/>
    <cellStyle name="Currency 8 44 2" xfId="15289"/>
    <cellStyle name="Currency 8 44 3" xfId="20406"/>
    <cellStyle name="Currency 8 44 4" xfId="25449"/>
    <cellStyle name="Currency 8 44 5" xfId="30410"/>
    <cellStyle name="Currency 8 44 6" xfId="35268"/>
    <cellStyle name="Currency 8 44 7" xfId="39999"/>
    <cellStyle name="Currency 8 45" xfId="8219"/>
    <cellStyle name="Currency 8 45 2" xfId="15299"/>
    <cellStyle name="Currency 8 45 3" xfId="20416"/>
    <cellStyle name="Currency 8 45 4" xfId="25459"/>
    <cellStyle name="Currency 8 45 5" xfId="30420"/>
    <cellStyle name="Currency 8 45 6" xfId="35278"/>
    <cellStyle name="Currency 8 45 7" xfId="40009"/>
    <cellStyle name="Currency 8 46" xfId="8229"/>
    <cellStyle name="Currency 8 46 2" xfId="15309"/>
    <cellStyle name="Currency 8 46 3" xfId="20426"/>
    <cellStyle name="Currency 8 46 4" xfId="25469"/>
    <cellStyle name="Currency 8 46 5" xfId="30430"/>
    <cellStyle name="Currency 8 46 6" xfId="35288"/>
    <cellStyle name="Currency 8 46 7" xfId="40019"/>
    <cellStyle name="Currency 8 47" xfId="8237"/>
    <cellStyle name="Currency 8 47 2" xfId="15317"/>
    <cellStyle name="Currency 8 47 3" xfId="20434"/>
    <cellStyle name="Currency 8 47 4" xfId="25477"/>
    <cellStyle name="Currency 8 47 5" xfId="30438"/>
    <cellStyle name="Currency 8 47 6" xfId="35296"/>
    <cellStyle name="Currency 8 47 7" xfId="40027"/>
    <cellStyle name="Currency 8 48" xfId="8895"/>
    <cellStyle name="Currency 8 48 2" xfId="15976"/>
    <cellStyle name="Currency 8 48 3" xfId="21093"/>
    <cellStyle name="Currency 8 48 4" xfId="26136"/>
    <cellStyle name="Currency 8 48 5" xfId="31097"/>
    <cellStyle name="Currency 8 48 6" xfId="35955"/>
    <cellStyle name="Currency 8 48 7" xfId="40686"/>
    <cellStyle name="Currency 8 49" xfId="8908"/>
    <cellStyle name="Currency 8 49 2" xfId="15989"/>
    <cellStyle name="Currency 8 49 3" xfId="21106"/>
    <cellStyle name="Currency 8 49 4" xfId="26149"/>
    <cellStyle name="Currency 8 49 5" xfId="31110"/>
    <cellStyle name="Currency 8 49 6" xfId="35968"/>
    <cellStyle name="Currency 8 49 7" xfId="40699"/>
    <cellStyle name="Currency 8 5" xfId="4436"/>
    <cellStyle name="Currency 8 5 2" xfId="6535"/>
    <cellStyle name="Currency 8 5 3" xfId="18653"/>
    <cellStyle name="Currency 8 5 4" xfId="23696"/>
    <cellStyle name="Currency 8 5 5" xfId="28657"/>
    <cellStyle name="Currency 8 5 6" xfId="33515"/>
    <cellStyle name="Currency 8 5 7" xfId="38246"/>
    <cellStyle name="Currency 8 50" xfId="8922"/>
    <cellStyle name="Currency 8 50 2" xfId="16003"/>
    <cellStyle name="Currency 8 50 3" xfId="21120"/>
    <cellStyle name="Currency 8 50 4" xfId="26163"/>
    <cellStyle name="Currency 8 50 5" xfId="31124"/>
    <cellStyle name="Currency 8 50 6" xfId="35982"/>
    <cellStyle name="Currency 8 50 7" xfId="40713"/>
    <cellStyle name="Currency 8 51" xfId="8938"/>
    <cellStyle name="Currency 8 51 2" xfId="16019"/>
    <cellStyle name="Currency 8 51 3" xfId="21136"/>
    <cellStyle name="Currency 8 51 4" xfId="26179"/>
    <cellStyle name="Currency 8 51 5" xfId="31140"/>
    <cellStyle name="Currency 8 51 6" xfId="35998"/>
    <cellStyle name="Currency 8 51 7" xfId="40729"/>
    <cellStyle name="Currency 8 52" xfId="8953"/>
    <cellStyle name="Currency 8 52 2" xfId="16034"/>
    <cellStyle name="Currency 8 52 3" xfId="21151"/>
    <cellStyle name="Currency 8 52 4" xfId="26194"/>
    <cellStyle name="Currency 8 52 5" xfId="31155"/>
    <cellStyle name="Currency 8 52 6" xfId="36013"/>
    <cellStyle name="Currency 8 52 7" xfId="40744"/>
    <cellStyle name="Currency 8 53" xfId="8967"/>
    <cellStyle name="Currency 8 53 2" xfId="16048"/>
    <cellStyle name="Currency 8 53 3" xfId="21165"/>
    <cellStyle name="Currency 8 53 4" xfId="26208"/>
    <cellStyle name="Currency 8 53 5" xfId="31169"/>
    <cellStyle name="Currency 8 53 6" xfId="36027"/>
    <cellStyle name="Currency 8 53 7" xfId="40758"/>
    <cellStyle name="Currency 8 54" xfId="8981"/>
    <cellStyle name="Currency 8 54 2" xfId="16062"/>
    <cellStyle name="Currency 8 54 3" xfId="21179"/>
    <cellStyle name="Currency 8 54 4" xfId="26222"/>
    <cellStyle name="Currency 8 54 5" xfId="31183"/>
    <cellStyle name="Currency 8 54 6" xfId="36041"/>
    <cellStyle name="Currency 8 54 7" xfId="40772"/>
    <cellStyle name="Currency 8 55" xfId="8993"/>
    <cellStyle name="Currency 8 55 2" xfId="16074"/>
    <cellStyle name="Currency 8 55 3" xfId="21191"/>
    <cellStyle name="Currency 8 55 4" xfId="26234"/>
    <cellStyle name="Currency 8 55 5" xfId="31195"/>
    <cellStyle name="Currency 8 55 6" xfId="36053"/>
    <cellStyle name="Currency 8 55 7" xfId="40784"/>
    <cellStyle name="Currency 8 56" xfId="9003"/>
    <cellStyle name="Currency 8 56 2" xfId="16084"/>
    <cellStyle name="Currency 8 56 3" xfId="21201"/>
    <cellStyle name="Currency 8 56 4" xfId="26244"/>
    <cellStyle name="Currency 8 56 5" xfId="31205"/>
    <cellStyle name="Currency 8 56 6" xfId="36063"/>
    <cellStyle name="Currency 8 56 7" xfId="40794"/>
    <cellStyle name="Currency 8 57" xfId="9013"/>
    <cellStyle name="Currency 8 57 2" xfId="16094"/>
    <cellStyle name="Currency 8 57 3" xfId="21211"/>
    <cellStyle name="Currency 8 57 4" xfId="26254"/>
    <cellStyle name="Currency 8 57 5" xfId="31215"/>
    <cellStyle name="Currency 8 57 6" xfId="36073"/>
    <cellStyle name="Currency 8 57 7" xfId="40804"/>
    <cellStyle name="Currency 8 58" xfId="9023"/>
    <cellStyle name="Currency 8 58 2" xfId="16104"/>
    <cellStyle name="Currency 8 58 3" xfId="21221"/>
    <cellStyle name="Currency 8 58 4" xfId="26264"/>
    <cellStyle name="Currency 8 58 5" xfId="31225"/>
    <cellStyle name="Currency 8 58 6" xfId="36083"/>
    <cellStyle name="Currency 8 58 7" xfId="40814"/>
    <cellStyle name="Currency 8 59" xfId="9033"/>
    <cellStyle name="Currency 8 59 2" xfId="16114"/>
    <cellStyle name="Currency 8 59 3" xfId="21231"/>
    <cellStyle name="Currency 8 59 4" xfId="26274"/>
    <cellStyle name="Currency 8 59 5" xfId="31235"/>
    <cellStyle name="Currency 8 59 6" xfId="36093"/>
    <cellStyle name="Currency 8 59 7" xfId="40824"/>
    <cellStyle name="Currency 8 6" xfId="4492"/>
    <cellStyle name="Currency 8 6 2" xfId="6548"/>
    <cellStyle name="Currency 8 6 3" xfId="18666"/>
    <cellStyle name="Currency 8 6 4" xfId="23709"/>
    <cellStyle name="Currency 8 6 5" xfId="28670"/>
    <cellStyle name="Currency 8 6 6" xfId="33528"/>
    <cellStyle name="Currency 8 6 7" xfId="38259"/>
    <cellStyle name="Currency 8 60" xfId="9043"/>
    <cellStyle name="Currency 8 60 2" xfId="16124"/>
    <cellStyle name="Currency 8 60 3" xfId="21241"/>
    <cellStyle name="Currency 8 60 4" xfId="26284"/>
    <cellStyle name="Currency 8 60 5" xfId="31245"/>
    <cellStyle name="Currency 8 60 6" xfId="36103"/>
    <cellStyle name="Currency 8 60 7" xfId="40834"/>
    <cellStyle name="Currency 8 61" xfId="9053"/>
    <cellStyle name="Currency 8 61 2" xfId="16134"/>
    <cellStyle name="Currency 8 61 3" xfId="21251"/>
    <cellStyle name="Currency 8 61 4" xfId="26294"/>
    <cellStyle name="Currency 8 61 5" xfId="31255"/>
    <cellStyle name="Currency 8 61 6" xfId="36113"/>
    <cellStyle name="Currency 8 61 7" xfId="40844"/>
    <cellStyle name="Currency 8 62" xfId="9061"/>
    <cellStyle name="Currency 8 62 2" xfId="16142"/>
    <cellStyle name="Currency 8 62 3" xfId="21259"/>
    <cellStyle name="Currency 8 62 4" xfId="26302"/>
    <cellStyle name="Currency 8 62 5" xfId="31263"/>
    <cellStyle name="Currency 8 62 6" xfId="36121"/>
    <cellStyle name="Currency 8 62 7" xfId="40852"/>
    <cellStyle name="Currency 8 63" xfId="9608"/>
    <cellStyle name="Currency 8 63 2" xfId="16689"/>
    <cellStyle name="Currency 8 63 3" xfId="21806"/>
    <cellStyle name="Currency 8 63 4" xfId="26849"/>
    <cellStyle name="Currency 8 63 5" xfId="31810"/>
    <cellStyle name="Currency 8 63 6" xfId="36668"/>
    <cellStyle name="Currency 8 63 7" xfId="41399"/>
    <cellStyle name="Currency 8 64" xfId="9620"/>
    <cellStyle name="Currency 8 64 2" xfId="16701"/>
    <cellStyle name="Currency 8 64 3" xfId="21818"/>
    <cellStyle name="Currency 8 64 4" xfId="26861"/>
    <cellStyle name="Currency 8 64 5" xfId="31822"/>
    <cellStyle name="Currency 8 64 6" xfId="36680"/>
    <cellStyle name="Currency 8 64 7" xfId="41411"/>
    <cellStyle name="Currency 8 65" xfId="9632"/>
    <cellStyle name="Currency 8 65 2" xfId="16713"/>
    <cellStyle name="Currency 8 65 3" xfId="21830"/>
    <cellStyle name="Currency 8 65 4" xfId="26873"/>
    <cellStyle name="Currency 8 65 5" xfId="31834"/>
    <cellStyle name="Currency 8 65 6" xfId="36692"/>
    <cellStyle name="Currency 8 65 7" xfId="41423"/>
    <cellStyle name="Currency 8 66" xfId="9643"/>
    <cellStyle name="Currency 8 66 2" xfId="16724"/>
    <cellStyle name="Currency 8 66 3" xfId="21841"/>
    <cellStyle name="Currency 8 66 4" xfId="26884"/>
    <cellStyle name="Currency 8 66 5" xfId="31845"/>
    <cellStyle name="Currency 8 66 6" xfId="36703"/>
    <cellStyle name="Currency 8 66 7" xfId="41434"/>
    <cellStyle name="Currency 8 67" xfId="9653"/>
    <cellStyle name="Currency 8 67 2" xfId="16734"/>
    <cellStyle name="Currency 8 67 3" xfId="21851"/>
    <cellStyle name="Currency 8 67 4" xfId="26894"/>
    <cellStyle name="Currency 8 67 5" xfId="31855"/>
    <cellStyle name="Currency 8 67 6" xfId="36713"/>
    <cellStyle name="Currency 8 67 7" xfId="41444"/>
    <cellStyle name="Currency 8 68" xfId="9663"/>
    <cellStyle name="Currency 8 68 2" xfId="16744"/>
    <cellStyle name="Currency 8 68 3" xfId="21861"/>
    <cellStyle name="Currency 8 68 4" xfId="26904"/>
    <cellStyle name="Currency 8 68 5" xfId="31865"/>
    <cellStyle name="Currency 8 68 6" xfId="36723"/>
    <cellStyle name="Currency 8 68 7" xfId="41454"/>
    <cellStyle name="Currency 8 69" xfId="9673"/>
    <cellStyle name="Currency 8 69 2" xfId="16754"/>
    <cellStyle name="Currency 8 69 3" xfId="21871"/>
    <cellStyle name="Currency 8 69 4" xfId="26914"/>
    <cellStyle name="Currency 8 69 5" xfId="31875"/>
    <cellStyle name="Currency 8 69 6" xfId="36733"/>
    <cellStyle name="Currency 8 69 7" xfId="41464"/>
    <cellStyle name="Currency 8 7" xfId="4643"/>
    <cellStyle name="Currency 8 7 2" xfId="6560"/>
    <cellStyle name="Currency 8 7 3" xfId="18678"/>
    <cellStyle name="Currency 8 7 4" xfId="23721"/>
    <cellStyle name="Currency 8 7 5" xfId="28682"/>
    <cellStyle name="Currency 8 7 6" xfId="33540"/>
    <cellStyle name="Currency 8 7 7" xfId="38271"/>
    <cellStyle name="Currency 8 70" xfId="9683"/>
    <cellStyle name="Currency 8 70 2" xfId="16764"/>
    <cellStyle name="Currency 8 70 3" xfId="21881"/>
    <cellStyle name="Currency 8 70 4" xfId="26924"/>
    <cellStyle name="Currency 8 70 5" xfId="31885"/>
    <cellStyle name="Currency 8 70 6" xfId="36743"/>
    <cellStyle name="Currency 8 70 7" xfId="41474"/>
    <cellStyle name="Currency 8 71" xfId="9693"/>
    <cellStyle name="Currency 8 71 2" xfId="16774"/>
    <cellStyle name="Currency 8 71 3" xfId="21891"/>
    <cellStyle name="Currency 8 71 4" xfId="26934"/>
    <cellStyle name="Currency 8 71 5" xfId="31895"/>
    <cellStyle name="Currency 8 71 6" xfId="36753"/>
    <cellStyle name="Currency 8 71 7" xfId="41484"/>
    <cellStyle name="Currency 8 72" xfId="9703"/>
    <cellStyle name="Currency 8 72 2" xfId="16784"/>
    <cellStyle name="Currency 8 72 3" xfId="21901"/>
    <cellStyle name="Currency 8 72 4" xfId="26944"/>
    <cellStyle name="Currency 8 72 5" xfId="31905"/>
    <cellStyle name="Currency 8 72 6" xfId="36763"/>
    <cellStyle name="Currency 8 72 7" xfId="41494"/>
    <cellStyle name="Currency 8 73" xfId="9713"/>
    <cellStyle name="Currency 8 73 2" xfId="16794"/>
    <cellStyle name="Currency 8 73 3" xfId="21911"/>
    <cellStyle name="Currency 8 73 4" xfId="26954"/>
    <cellStyle name="Currency 8 73 5" xfId="31915"/>
    <cellStyle name="Currency 8 73 6" xfId="36773"/>
    <cellStyle name="Currency 8 73 7" xfId="41504"/>
    <cellStyle name="Currency 8 74" xfId="9721"/>
    <cellStyle name="Currency 8 74 2" xfId="16802"/>
    <cellStyle name="Currency 8 74 3" xfId="21919"/>
    <cellStyle name="Currency 8 74 4" xfId="26962"/>
    <cellStyle name="Currency 8 74 5" xfId="31923"/>
    <cellStyle name="Currency 8 74 6" xfId="36781"/>
    <cellStyle name="Currency 8 74 7" xfId="41512"/>
    <cellStyle name="Currency 8 75" xfId="10003"/>
    <cellStyle name="Currency 8 75 2" xfId="17084"/>
    <cellStyle name="Currency 8 75 3" xfId="22201"/>
    <cellStyle name="Currency 8 75 4" xfId="27244"/>
    <cellStyle name="Currency 8 75 5" xfId="32205"/>
    <cellStyle name="Currency 8 75 6" xfId="37063"/>
    <cellStyle name="Currency 8 75 7" xfId="41794"/>
    <cellStyle name="Currency 8 76" xfId="10013"/>
    <cellStyle name="Currency 8 76 2" xfId="17094"/>
    <cellStyle name="Currency 8 76 3" xfId="22211"/>
    <cellStyle name="Currency 8 76 4" xfId="27254"/>
    <cellStyle name="Currency 8 76 5" xfId="32215"/>
    <cellStyle name="Currency 8 76 6" xfId="37073"/>
    <cellStyle name="Currency 8 76 7" xfId="41804"/>
    <cellStyle name="Currency 8 77" xfId="10023"/>
    <cellStyle name="Currency 8 77 2" xfId="17104"/>
    <cellStyle name="Currency 8 77 3" xfId="22221"/>
    <cellStyle name="Currency 8 77 4" xfId="27264"/>
    <cellStyle name="Currency 8 77 5" xfId="32225"/>
    <cellStyle name="Currency 8 77 6" xfId="37083"/>
    <cellStyle name="Currency 8 77 7" xfId="41814"/>
    <cellStyle name="Currency 8 78" xfId="10033"/>
    <cellStyle name="Currency 8 78 2" xfId="17114"/>
    <cellStyle name="Currency 8 78 3" xfId="22231"/>
    <cellStyle name="Currency 8 78 4" xfId="27274"/>
    <cellStyle name="Currency 8 78 5" xfId="32235"/>
    <cellStyle name="Currency 8 78 6" xfId="37093"/>
    <cellStyle name="Currency 8 78 7" xfId="41824"/>
    <cellStyle name="Currency 8 79" xfId="10043"/>
    <cellStyle name="Currency 8 79 2" xfId="17124"/>
    <cellStyle name="Currency 8 79 3" xfId="22241"/>
    <cellStyle name="Currency 8 79 4" xfId="27284"/>
    <cellStyle name="Currency 8 79 5" xfId="32245"/>
    <cellStyle name="Currency 8 79 6" xfId="37103"/>
    <cellStyle name="Currency 8 79 7" xfId="41834"/>
    <cellStyle name="Currency 8 8" xfId="4651"/>
    <cellStyle name="Currency 8 8 2" xfId="6572"/>
    <cellStyle name="Currency 8 8 3" xfId="18690"/>
    <cellStyle name="Currency 8 8 4" xfId="23733"/>
    <cellStyle name="Currency 8 8 5" xfId="28694"/>
    <cellStyle name="Currency 8 8 6" xfId="33552"/>
    <cellStyle name="Currency 8 8 7" xfId="38283"/>
    <cellStyle name="Currency 8 80" xfId="10051"/>
    <cellStyle name="Currency 8 80 2" xfId="17132"/>
    <cellStyle name="Currency 8 80 3" xfId="22249"/>
    <cellStyle name="Currency 8 80 4" xfId="27292"/>
    <cellStyle name="Currency 8 80 5" xfId="32253"/>
    <cellStyle name="Currency 8 80 6" xfId="37111"/>
    <cellStyle name="Currency 8 80 7" xfId="41842"/>
    <cellStyle name="Currency 8 81" xfId="10333"/>
    <cellStyle name="Currency 8 81 2" xfId="17414"/>
    <cellStyle name="Currency 8 81 3" xfId="22531"/>
    <cellStyle name="Currency 8 81 4" xfId="27574"/>
    <cellStyle name="Currency 8 81 5" xfId="32535"/>
    <cellStyle name="Currency 8 81 6" xfId="37393"/>
    <cellStyle name="Currency 8 81 7" xfId="42124"/>
    <cellStyle name="Currency 8 82" xfId="10343"/>
    <cellStyle name="Currency 8 82 2" xfId="17424"/>
    <cellStyle name="Currency 8 82 3" xfId="22541"/>
    <cellStyle name="Currency 8 82 4" xfId="27584"/>
    <cellStyle name="Currency 8 82 5" xfId="32545"/>
    <cellStyle name="Currency 8 82 6" xfId="37403"/>
    <cellStyle name="Currency 8 82 7" xfId="42134"/>
    <cellStyle name="Currency 8 83" xfId="10353"/>
    <cellStyle name="Currency 8 83 2" xfId="17434"/>
    <cellStyle name="Currency 8 83 3" xfId="22551"/>
    <cellStyle name="Currency 8 83 4" xfId="27594"/>
    <cellStyle name="Currency 8 83 5" xfId="32555"/>
    <cellStyle name="Currency 8 83 6" xfId="37413"/>
    <cellStyle name="Currency 8 83 7" xfId="42144"/>
    <cellStyle name="Currency 8 84" xfId="10363"/>
    <cellStyle name="Currency 8 84 2" xfId="17444"/>
    <cellStyle name="Currency 8 84 3" xfId="22561"/>
    <cellStyle name="Currency 8 84 4" xfId="27604"/>
    <cellStyle name="Currency 8 84 5" xfId="32565"/>
    <cellStyle name="Currency 8 84 6" xfId="37423"/>
    <cellStyle name="Currency 8 84 7" xfId="42154"/>
    <cellStyle name="Currency 8 85" xfId="10373"/>
    <cellStyle name="Currency 8 85 2" xfId="17454"/>
    <cellStyle name="Currency 8 85 3" xfId="22571"/>
    <cellStyle name="Currency 8 85 4" xfId="27614"/>
    <cellStyle name="Currency 8 85 5" xfId="32575"/>
    <cellStyle name="Currency 8 85 6" xfId="37433"/>
    <cellStyle name="Currency 8 85 7" xfId="42164"/>
    <cellStyle name="Currency 8 86" xfId="10381"/>
    <cellStyle name="Currency 8 86 2" xfId="17462"/>
    <cellStyle name="Currency 8 86 3" xfId="22579"/>
    <cellStyle name="Currency 8 86 4" xfId="27622"/>
    <cellStyle name="Currency 8 86 5" xfId="32583"/>
    <cellStyle name="Currency 8 86 6" xfId="37441"/>
    <cellStyle name="Currency 8 86 7" xfId="42172"/>
    <cellStyle name="Currency 8 87" xfId="14199"/>
    <cellStyle name="Currency 8 88" xfId="17900"/>
    <cellStyle name="Currency 8 89" xfId="22943"/>
    <cellStyle name="Currency 8 9" xfId="4659"/>
    <cellStyle name="Currency 8 9 2" xfId="6583"/>
    <cellStyle name="Currency 8 9 3" xfId="18701"/>
    <cellStyle name="Currency 8 9 4" xfId="23744"/>
    <cellStyle name="Currency 8 9 5" xfId="28705"/>
    <cellStyle name="Currency 8 9 6" xfId="33563"/>
    <cellStyle name="Currency 8 9 7" xfId="38294"/>
    <cellStyle name="Currency 8 90" xfId="27904"/>
    <cellStyle name="Currency 8 91" xfId="32762"/>
    <cellStyle name="Currency 8 92" xfId="37493"/>
    <cellStyle name="Explanatory Text" xfId="30" builtinId="53" customBuiltin="1"/>
    <cellStyle name="Explanatory Text 10" xfId="788"/>
    <cellStyle name="Explanatory Text 11" xfId="822"/>
    <cellStyle name="Explanatory Text 12" xfId="856"/>
    <cellStyle name="Explanatory Text 13" xfId="889"/>
    <cellStyle name="Explanatory Text 14" xfId="920"/>
    <cellStyle name="Explanatory Text 15" xfId="943"/>
    <cellStyle name="Explanatory Text 16" xfId="1009"/>
    <cellStyle name="Explanatory Text 17" xfId="1131"/>
    <cellStyle name="Explanatory Text 18" xfId="1083"/>
    <cellStyle name="Explanatory Text 19" xfId="1189"/>
    <cellStyle name="Explanatory Text 2" xfId="98"/>
    <cellStyle name="Explanatory Text 2 2" xfId="5737"/>
    <cellStyle name="Explanatory Text 20" xfId="1220"/>
    <cellStyle name="Explanatory Text 21" xfId="1248"/>
    <cellStyle name="Explanatory Text 22" xfId="1272"/>
    <cellStyle name="Explanatory Text 23" xfId="1561"/>
    <cellStyle name="Explanatory Text 23 2" xfId="2749"/>
    <cellStyle name="Explanatory Text 23 3" xfId="3098"/>
    <cellStyle name="Explanatory Text 23 4" xfId="1770"/>
    <cellStyle name="Explanatory Text 23 5" xfId="3629"/>
    <cellStyle name="Explanatory Text 23 6" xfId="3824"/>
    <cellStyle name="Explanatory Text 23 7" xfId="3986"/>
    <cellStyle name="Explanatory Text 23 8" xfId="4112"/>
    <cellStyle name="Explanatory Text 24" xfId="1479"/>
    <cellStyle name="Explanatory Text 24 2" xfId="2672"/>
    <cellStyle name="Explanatory Text 24 3" xfId="3020"/>
    <cellStyle name="Explanatory Text 24 4" xfId="3427"/>
    <cellStyle name="Explanatory Text 24 5" xfId="2133"/>
    <cellStyle name="Explanatory Text 24 6" xfId="3704"/>
    <cellStyle name="Explanatory Text 24 7" xfId="3891"/>
    <cellStyle name="Explanatory Text 24 8" xfId="4045"/>
    <cellStyle name="Explanatory Text 25" xfId="1359"/>
    <cellStyle name="Explanatory Text 25 2" xfId="2557"/>
    <cellStyle name="Explanatory Text 25 3" xfId="2907"/>
    <cellStyle name="Explanatory Text 25 4" xfId="3437"/>
    <cellStyle name="Explanatory Text 25 5" xfId="2238"/>
    <cellStyle name="Explanatory Text 25 6" xfId="3592"/>
    <cellStyle name="Explanatory Text 25 7" xfId="3792"/>
    <cellStyle name="Explanatory Text 25 8" xfId="3961"/>
    <cellStyle name="Explanatory Text 26" xfId="1519"/>
    <cellStyle name="Explanatory Text 26 2" xfId="2711"/>
    <cellStyle name="Explanatory Text 26 3" xfId="3059"/>
    <cellStyle name="Explanatory Text 26 4" xfId="2263"/>
    <cellStyle name="Explanatory Text 26 5" xfId="1793"/>
    <cellStyle name="Explanatory Text 26 6" xfId="3363"/>
    <cellStyle name="Explanatory Text 26 7" xfId="2060"/>
    <cellStyle name="Explanatory Text 26 8" xfId="2213"/>
    <cellStyle name="Explanatory Text 27" xfId="1594"/>
    <cellStyle name="Explanatory Text 27 2" xfId="2772"/>
    <cellStyle name="Explanatory Text 27 3" xfId="3126"/>
    <cellStyle name="Explanatory Text 27 4" xfId="3464"/>
    <cellStyle name="Explanatory Text 27 5" xfId="3673"/>
    <cellStyle name="Explanatory Text 27 6" xfId="3865"/>
    <cellStyle name="Explanatory Text 27 7" xfId="4025"/>
    <cellStyle name="Explanatory Text 27 8" xfId="4138"/>
    <cellStyle name="Explanatory Text 28" xfId="1625"/>
    <cellStyle name="Explanatory Text 28 2" xfId="2802"/>
    <cellStyle name="Explanatory Text 28 3" xfId="3156"/>
    <cellStyle name="Explanatory Text 28 4" xfId="1824"/>
    <cellStyle name="Explanatory Text 28 5" xfId="2292"/>
    <cellStyle name="Explanatory Text 28 6" xfId="2144"/>
    <cellStyle name="Explanatory Text 28 7" xfId="3247"/>
    <cellStyle name="Explanatory Text 28 8" xfId="3549"/>
    <cellStyle name="Explanatory Text 29" xfId="1657"/>
    <cellStyle name="Explanatory Text 29 2" xfId="2829"/>
    <cellStyle name="Explanatory Text 29 3" xfId="3183"/>
    <cellStyle name="Explanatory Text 29 4" xfId="3453"/>
    <cellStyle name="Explanatory Text 29 5" xfId="2435"/>
    <cellStyle name="Explanatory Text 29 6" xfId="2150"/>
    <cellStyle name="Explanatory Text 29 7" xfId="2131"/>
    <cellStyle name="Explanatory Text 29 8" xfId="2208"/>
    <cellStyle name="Explanatory Text 3" xfId="127"/>
    <cellStyle name="Explanatory Text 30" xfId="1685"/>
    <cellStyle name="Explanatory Text 30 2" xfId="2852"/>
    <cellStyle name="Explanatory Text 30 3" xfId="3206"/>
    <cellStyle name="Explanatory Text 30 4" xfId="1991"/>
    <cellStyle name="Explanatory Text 30 5" xfId="3580"/>
    <cellStyle name="Explanatory Text 30 6" xfId="3781"/>
    <cellStyle name="Explanatory Text 30 7" xfId="3954"/>
    <cellStyle name="Explanatory Text 30 8" xfId="4095"/>
    <cellStyle name="Explanatory Text 4" xfId="458"/>
    <cellStyle name="Explanatory Text 5" xfId="601"/>
    <cellStyle name="Explanatory Text 6" xfId="547"/>
    <cellStyle name="Explanatory Text 7" xfId="670"/>
    <cellStyle name="Explanatory Text 8" xfId="710"/>
    <cellStyle name="Explanatory Text 9" xfId="750"/>
    <cellStyle name="Good" xfId="31" builtinId="26" customBuiltin="1"/>
    <cellStyle name="Good 10" xfId="707"/>
    <cellStyle name="Good 11" xfId="747"/>
    <cellStyle name="Good 12" xfId="785"/>
    <cellStyle name="Good 13" xfId="819"/>
    <cellStyle name="Good 14" xfId="853"/>
    <cellStyle name="Good 15" xfId="886"/>
    <cellStyle name="Good 16" xfId="1010"/>
    <cellStyle name="Good 17" xfId="1129"/>
    <cellStyle name="Good 18" xfId="1086"/>
    <cellStyle name="Good 19" xfId="1028"/>
    <cellStyle name="Good 2" xfId="99"/>
    <cellStyle name="Good 2 2" xfId="5738"/>
    <cellStyle name="Good 20" xfId="1100"/>
    <cellStyle name="Good 21" xfId="1187"/>
    <cellStyle name="Good 22" xfId="1218"/>
    <cellStyle name="Good 23" xfId="1326"/>
    <cellStyle name="Good 23 2" xfId="2527"/>
    <cellStyle name="Good 23 3" xfId="2876"/>
    <cellStyle name="Good 23 4" xfId="2018"/>
    <cellStyle name="Good 23 5" xfId="3561"/>
    <cellStyle name="Good 23 6" xfId="3765"/>
    <cellStyle name="Good 23 7" xfId="3941"/>
    <cellStyle name="Good 23 8" xfId="4084"/>
    <cellStyle name="Good 24" xfId="1490"/>
    <cellStyle name="Good 24 2" xfId="2683"/>
    <cellStyle name="Good 24 3" xfId="3031"/>
    <cellStyle name="Good 24 4" xfId="1785"/>
    <cellStyle name="Good 24 5" xfId="2070"/>
    <cellStyle name="Good 24 6" xfId="2225"/>
    <cellStyle name="Good 24 7" xfId="1788"/>
    <cellStyle name="Good 24 8" xfId="2041"/>
    <cellStyle name="Good 25" xfId="1356"/>
    <cellStyle name="Good 25 2" xfId="2554"/>
    <cellStyle name="Good 25 3" xfId="2904"/>
    <cellStyle name="Good 25 4" xfId="2452"/>
    <cellStyle name="Good 25 5" xfId="3613"/>
    <cellStyle name="Good 25 6" xfId="3810"/>
    <cellStyle name="Good 25 7" xfId="3975"/>
    <cellStyle name="Good 25 8" xfId="4104"/>
    <cellStyle name="Good 26" xfId="1325"/>
    <cellStyle name="Good 26 2" xfId="2526"/>
    <cellStyle name="Good 26 3" xfId="2875"/>
    <cellStyle name="Good 26 4" xfId="2079"/>
    <cellStyle name="Good 26 5" xfId="3568"/>
    <cellStyle name="Good 26 6" xfId="3770"/>
    <cellStyle name="Good 26 7" xfId="3946"/>
    <cellStyle name="Good 26 8" xfId="4089"/>
    <cellStyle name="Good 27" xfId="1343"/>
    <cellStyle name="Good 27 2" xfId="2542"/>
    <cellStyle name="Good 27 3" xfId="2891"/>
    <cellStyle name="Good 27 4" xfId="2295"/>
    <cellStyle name="Good 27 5" xfId="2158"/>
    <cellStyle name="Good 27 6" xfId="1856"/>
    <cellStyle name="Good 27 7" xfId="3512"/>
    <cellStyle name="Good 27 8" xfId="2278"/>
    <cellStyle name="Good 28" xfId="1472"/>
    <cellStyle name="Good 28 2" xfId="2666"/>
    <cellStyle name="Good 28 3" xfId="3014"/>
    <cellStyle name="Good 28 4" xfId="1947"/>
    <cellStyle name="Good 28 5" xfId="3690"/>
    <cellStyle name="Good 28 6" xfId="3880"/>
    <cellStyle name="Good 28 7" xfId="4035"/>
    <cellStyle name="Good 28 8" xfId="4145"/>
    <cellStyle name="Good 29" xfId="1592"/>
    <cellStyle name="Good 29 2" xfId="2770"/>
    <cellStyle name="Good 29 3" xfId="3124"/>
    <cellStyle name="Good 29 4" xfId="2187"/>
    <cellStyle name="Good 29 5" xfId="3564"/>
    <cellStyle name="Good 29 6" xfId="3767"/>
    <cellStyle name="Good 29 7" xfId="3943"/>
    <cellStyle name="Good 29 8" xfId="4086"/>
    <cellStyle name="Good 3" xfId="128"/>
    <cellStyle name="Good 30" xfId="1623"/>
    <cellStyle name="Good 30 2" xfId="2800"/>
    <cellStyle name="Good 30 3" xfId="3154"/>
    <cellStyle name="Good 30 4" xfId="1805"/>
    <cellStyle name="Good 30 5" xfId="3627"/>
    <cellStyle name="Good 30 6" xfId="3822"/>
    <cellStyle name="Good 30 7" xfId="3984"/>
    <cellStyle name="Good 30 8" xfId="4110"/>
    <cellStyle name="Good 4" xfId="459"/>
    <cellStyle name="Good 5" xfId="599"/>
    <cellStyle name="Good 6" xfId="551"/>
    <cellStyle name="Good 7" xfId="478"/>
    <cellStyle name="Good 8" xfId="566"/>
    <cellStyle name="Good 9" xfId="667"/>
    <cellStyle name="Heading 1" xfId="32" builtinId="16" customBuiltin="1"/>
    <cellStyle name="Heading 1 10" xfId="784"/>
    <cellStyle name="Heading 1 11" xfId="818"/>
    <cellStyle name="Heading 1 12" xfId="852"/>
    <cellStyle name="Heading 1 13" xfId="885"/>
    <cellStyle name="Heading 1 14" xfId="917"/>
    <cellStyle name="Heading 1 15" xfId="940"/>
    <cellStyle name="Heading 1 16" xfId="1011"/>
    <cellStyle name="Heading 1 17" xfId="1128"/>
    <cellStyle name="Heading 1 18" xfId="1089"/>
    <cellStyle name="Heading 1 19" xfId="1186"/>
    <cellStyle name="Heading 1 2" xfId="100"/>
    <cellStyle name="Heading 1 2 2" xfId="5739"/>
    <cellStyle name="Heading 1 20" xfId="1217"/>
    <cellStyle name="Heading 1 21" xfId="1246"/>
    <cellStyle name="Heading 1 22" xfId="1270"/>
    <cellStyle name="Heading 1 23" xfId="1546"/>
    <cellStyle name="Heading 1 23 2" xfId="2735"/>
    <cellStyle name="Heading 1 23 3" xfId="3084"/>
    <cellStyle name="Heading 1 23 4" xfId="1708"/>
    <cellStyle name="Heading 1 23 5" xfId="1864"/>
    <cellStyle name="Heading 1 23 6" xfId="3243"/>
    <cellStyle name="Heading 1 23 7" xfId="3501"/>
    <cellStyle name="Heading 1 23 8" xfId="2127"/>
    <cellStyle name="Heading 1 24" xfId="1464"/>
    <cellStyle name="Heading 1 24 2" xfId="2658"/>
    <cellStyle name="Heading 1 24 3" xfId="3006"/>
    <cellStyle name="Heading 1 24 4" xfId="1845"/>
    <cellStyle name="Heading 1 24 5" xfId="2223"/>
    <cellStyle name="Heading 1 24 6" xfId="1677"/>
    <cellStyle name="Heading 1 24 7" xfId="3531"/>
    <cellStyle name="Heading 1 24 8" xfId="3739"/>
    <cellStyle name="Heading 1 25" xfId="1354"/>
    <cellStyle name="Heading 1 25 2" xfId="2552"/>
    <cellStyle name="Heading 1 25 3" xfId="2902"/>
    <cellStyle name="Heading 1 25 4" xfId="2251"/>
    <cellStyle name="Heading 1 25 5" xfId="3676"/>
    <cellStyle name="Heading 1 25 6" xfId="3867"/>
    <cellStyle name="Heading 1 25 7" xfId="4026"/>
    <cellStyle name="Heading 1 25 8" xfId="4139"/>
    <cellStyle name="Heading 1 26" xfId="1483"/>
    <cellStyle name="Heading 1 26 2" xfId="2676"/>
    <cellStyle name="Heading 1 26 3" xfId="3024"/>
    <cellStyle name="Heading 1 26 4" xfId="3418"/>
    <cellStyle name="Heading 1 26 5" xfId="3304"/>
    <cellStyle name="Heading 1 26 6" xfId="1879"/>
    <cellStyle name="Heading 1 26 7" xfId="2189"/>
    <cellStyle name="Heading 1 26 8" xfId="3251"/>
    <cellStyle name="Heading 1 27" xfId="1591"/>
    <cellStyle name="Heading 1 27 2" xfId="2769"/>
    <cellStyle name="Heading 1 27 3" xfId="3123"/>
    <cellStyle name="Heading 1 27 4" xfId="1766"/>
    <cellStyle name="Heading 1 27 5" xfId="3565"/>
    <cellStyle name="Heading 1 27 6" xfId="3768"/>
    <cellStyle name="Heading 1 27 7" xfId="3944"/>
    <cellStyle name="Heading 1 27 8" xfId="4087"/>
    <cellStyle name="Heading 1 28" xfId="1622"/>
    <cellStyle name="Heading 1 28 2" xfId="2799"/>
    <cellStyle name="Heading 1 28 3" xfId="3153"/>
    <cellStyle name="Heading 1 28 4" xfId="2164"/>
    <cellStyle name="Heading 1 28 5" xfId="3637"/>
    <cellStyle name="Heading 1 28 6" xfId="3831"/>
    <cellStyle name="Heading 1 28 7" xfId="3992"/>
    <cellStyle name="Heading 1 28 8" xfId="4115"/>
    <cellStyle name="Heading 1 29" xfId="1655"/>
    <cellStyle name="Heading 1 29 2" xfId="2827"/>
    <cellStyle name="Heading 1 29 3" xfId="3181"/>
    <cellStyle name="Heading 1 29 4" xfId="2835"/>
    <cellStyle name="Heading 1 29 5" xfId="3335"/>
    <cellStyle name="Heading 1 29 6" xfId="2053"/>
    <cellStyle name="Heading 1 29 7" xfId="2221"/>
    <cellStyle name="Heading 1 29 8" xfId="3551"/>
    <cellStyle name="Heading 1 3" xfId="129"/>
    <cellStyle name="Heading 1 30" xfId="1683"/>
    <cellStyle name="Heading 1 30 2" xfId="2850"/>
    <cellStyle name="Heading 1 30 3" xfId="3204"/>
    <cellStyle name="Heading 1 30 4" xfId="2056"/>
    <cellStyle name="Heading 1 30 5" xfId="3543"/>
    <cellStyle name="Heading 1 30 6" xfId="3749"/>
    <cellStyle name="Heading 1 30 7" xfId="3929"/>
    <cellStyle name="Heading 1 30 8" xfId="4077"/>
    <cellStyle name="Heading 1 4" xfId="460"/>
    <cellStyle name="Heading 1 5" xfId="598"/>
    <cellStyle name="Heading 1 6" xfId="554"/>
    <cellStyle name="Heading 1 7" xfId="666"/>
    <cellStyle name="Heading 1 8" xfId="706"/>
    <cellStyle name="Heading 1 9" xfId="746"/>
    <cellStyle name="Heading 2" xfId="33" builtinId="17" customBuiltin="1"/>
    <cellStyle name="Heading 2 10" xfId="796"/>
    <cellStyle name="Heading 2 11" xfId="830"/>
    <cellStyle name="Heading 2 12" xfId="863"/>
    <cellStyle name="Heading 2 13" xfId="897"/>
    <cellStyle name="Heading 2 14" xfId="926"/>
    <cellStyle name="Heading 2 15" xfId="950"/>
    <cellStyle name="Heading 2 16" xfId="1012"/>
    <cellStyle name="Heading 2 17" xfId="1038"/>
    <cellStyle name="Heading 2 18" xfId="1084"/>
    <cellStyle name="Heading 2 19" xfId="1197"/>
    <cellStyle name="Heading 2 2" xfId="101"/>
    <cellStyle name="Heading 2 2 2" xfId="5740"/>
    <cellStyle name="Heading 2 20" xfId="1228"/>
    <cellStyle name="Heading 2 21" xfId="1255"/>
    <cellStyle name="Heading 2 22" xfId="1277"/>
    <cellStyle name="Heading 2 23" xfId="1557"/>
    <cellStyle name="Heading 2 23 2" xfId="2745"/>
    <cellStyle name="Heading 2 23 3" xfId="3094"/>
    <cellStyle name="Heading 2 23 4" xfId="1936"/>
    <cellStyle name="Heading 2 23 5" xfId="3710"/>
    <cellStyle name="Heading 2 23 6" xfId="3896"/>
    <cellStyle name="Heading 2 23 7" xfId="4050"/>
    <cellStyle name="Heading 2 23 8" xfId="4157"/>
    <cellStyle name="Heading 2 24" xfId="1397"/>
    <cellStyle name="Heading 2 24 2" xfId="2592"/>
    <cellStyle name="Heading 2 24 3" xfId="2941"/>
    <cellStyle name="Heading 2 24 4" xfId="3411"/>
    <cellStyle name="Heading 2 24 5" xfId="2260"/>
    <cellStyle name="Heading 2 24 6" xfId="2262"/>
    <cellStyle name="Heading 2 24 7" xfId="2421"/>
    <cellStyle name="Heading 2 24 8" xfId="1925"/>
    <cellStyle name="Heading 2 25" xfId="1358"/>
    <cellStyle name="Heading 2 25 2" xfId="2556"/>
    <cellStyle name="Heading 2 25 3" xfId="2906"/>
    <cellStyle name="Heading 2 25 4" xfId="1857"/>
    <cellStyle name="Heading 2 25 5" xfId="2119"/>
    <cellStyle name="Heading 2 25 6" xfId="3215"/>
    <cellStyle name="Heading 2 25 7" xfId="2293"/>
    <cellStyle name="Heading 2 25 8" xfId="2193"/>
    <cellStyle name="Heading 2 26" xfId="1499"/>
    <cellStyle name="Heading 2 26 2" xfId="2692"/>
    <cellStyle name="Heading 2 26 3" xfId="3040"/>
    <cellStyle name="Heading 2 26 4" xfId="2246"/>
    <cellStyle name="Heading 2 26 5" xfId="3705"/>
    <cellStyle name="Heading 2 26 6" xfId="3892"/>
    <cellStyle name="Heading 2 26 7" xfId="4046"/>
    <cellStyle name="Heading 2 26 8" xfId="4153"/>
    <cellStyle name="Heading 2 27" xfId="1602"/>
    <cellStyle name="Heading 2 27 2" xfId="2780"/>
    <cellStyle name="Heading 2 27 3" xfId="3134"/>
    <cellStyle name="Heading 2 27 4" xfId="3364"/>
    <cellStyle name="Heading 2 27 5" xfId="3365"/>
    <cellStyle name="Heading 2 27 6" xfId="3248"/>
    <cellStyle name="Heading 2 27 7" xfId="2252"/>
    <cellStyle name="Heading 2 27 8" xfId="3246"/>
    <cellStyle name="Heading 2 28" xfId="1634"/>
    <cellStyle name="Heading 2 28 2" xfId="2809"/>
    <cellStyle name="Heading 2 28 3" xfId="3163"/>
    <cellStyle name="Heading 2 28 4" xfId="1704"/>
    <cellStyle name="Heading 2 28 5" xfId="3381"/>
    <cellStyle name="Heading 2 28 6" xfId="3091"/>
    <cellStyle name="Heading 2 28 7" xfId="3256"/>
    <cellStyle name="Heading 2 28 8" xfId="3534"/>
    <cellStyle name="Heading 2 29" xfId="1664"/>
    <cellStyle name="Heading 2 29 2" xfId="2836"/>
    <cellStyle name="Heading 2 29 3" xfId="3190"/>
    <cellStyle name="Heading 2 29 4" xfId="2071"/>
    <cellStyle name="Heading 2 29 5" xfId="1710"/>
    <cellStyle name="Heading 2 29 6" xfId="3666"/>
    <cellStyle name="Heading 2 29 7" xfId="3859"/>
    <cellStyle name="Heading 2 29 8" xfId="4019"/>
    <cellStyle name="Heading 2 3" xfId="130"/>
    <cellStyle name="Heading 2 30" xfId="1691"/>
    <cellStyle name="Heading 2 30 2" xfId="2857"/>
    <cellStyle name="Heading 2 30 3" xfId="3212"/>
    <cellStyle name="Heading 2 30 4" xfId="3316"/>
    <cellStyle name="Heading 2 30 5" xfId="1914"/>
    <cellStyle name="Heading 2 30 6" xfId="2082"/>
    <cellStyle name="Heading 2 30 7" xfId="3252"/>
    <cellStyle name="Heading 2 30 8" xfId="3245"/>
    <cellStyle name="Heading 2 4" xfId="461"/>
    <cellStyle name="Heading 2 5" xfId="489"/>
    <cellStyle name="Heading 2 6" xfId="548"/>
    <cellStyle name="Heading 2 7" xfId="681"/>
    <cellStyle name="Heading 2 8" xfId="721"/>
    <cellStyle name="Heading 2 9" xfId="760"/>
    <cellStyle name="Heading 3" xfId="34" builtinId="18" customBuiltin="1"/>
    <cellStyle name="Heading 3 10" xfId="811"/>
    <cellStyle name="Heading 3 11" xfId="845"/>
    <cellStyle name="Heading 3 12" xfId="877"/>
    <cellStyle name="Heading 3 13" xfId="912"/>
    <cellStyle name="Heading 3 14" xfId="936"/>
    <cellStyle name="Heading 3 15" xfId="957"/>
    <cellStyle name="Heading 3 16" xfId="1013"/>
    <cellStyle name="Heading 3 17" xfId="1126"/>
    <cellStyle name="Heading 3 18" xfId="1093"/>
    <cellStyle name="Heading 3 19" xfId="1210"/>
    <cellStyle name="Heading 3 2" xfId="102"/>
    <cellStyle name="Heading 3 2 2" xfId="5741"/>
    <cellStyle name="Heading 3 20" xfId="1241"/>
    <cellStyle name="Heading 3 21" xfId="1265"/>
    <cellStyle name="Heading 3 22" xfId="1285"/>
    <cellStyle name="Heading 3 23" xfId="1551"/>
    <cellStyle name="Heading 3 23 2" xfId="2740"/>
    <cellStyle name="Heading 3 23 3" xfId="3089"/>
    <cellStyle name="Heading 3 23 4" xfId="1966"/>
    <cellStyle name="Heading 3 23 5" xfId="3449"/>
    <cellStyle name="Heading 3 23 6" xfId="3377"/>
    <cellStyle name="Heading 3 23 7" xfId="2094"/>
    <cellStyle name="Heading 3 23 8" xfId="2261"/>
    <cellStyle name="Heading 3 24" xfId="1502"/>
    <cellStyle name="Heading 3 24 2" xfId="2695"/>
    <cellStyle name="Heading 3 24 3" xfId="3043"/>
    <cellStyle name="Heading 3 24 4" xfId="1742"/>
    <cellStyle name="Heading 3 24 5" xfId="3557"/>
    <cellStyle name="Heading 3 24 6" xfId="3761"/>
    <cellStyle name="Heading 3 24 7" xfId="3938"/>
    <cellStyle name="Heading 3 24 8" xfId="4081"/>
    <cellStyle name="Heading 3 25" xfId="1350"/>
    <cellStyle name="Heading 3 25 2" xfId="2548"/>
    <cellStyle name="Heading 3 25 3" xfId="2898"/>
    <cellStyle name="Heading 3 25 4" xfId="2380"/>
    <cellStyle name="Heading 3 25 5" xfId="2406"/>
    <cellStyle name="Heading 3 25 6" xfId="2015"/>
    <cellStyle name="Heading 3 25 7" xfId="2134"/>
    <cellStyle name="Heading 3 25 8" xfId="2174"/>
    <cellStyle name="Heading 3 26" xfId="1421"/>
    <cellStyle name="Heading 3 26 2" xfId="2616"/>
    <cellStyle name="Heading 3 26 3" xfId="2964"/>
    <cellStyle name="Heading 3 26 4" xfId="3439"/>
    <cellStyle name="Heading 3 26 5" xfId="3303"/>
    <cellStyle name="Heading 3 26 6" xfId="1776"/>
    <cellStyle name="Heading 3 26 7" xfId="3604"/>
    <cellStyle name="Heading 3 26 8" xfId="3803"/>
    <cellStyle name="Heading 3 27" xfId="1616"/>
    <cellStyle name="Heading 3 27 2" xfId="2793"/>
    <cellStyle name="Heading 3 27 3" xfId="3147"/>
    <cellStyle name="Heading 3 27 4" xfId="2347"/>
    <cellStyle name="Heading 3 27 5" xfId="3595"/>
    <cellStyle name="Heading 3 27 6" xfId="3795"/>
    <cellStyle name="Heading 3 27 7" xfId="3964"/>
    <cellStyle name="Heading 3 27 8" xfId="4098"/>
    <cellStyle name="Heading 3 28" xfId="1649"/>
    <cellStyle name="Heading 3 28 2" xfId="2822"/>
    <cellStyle name="Heading 3 28 3" xfId="3176"/>
    <cellStyle name="Heading 3 28 4" xfId="2253"/>
    <cellStyle name="Heading 3 28 5" xfId="3657"/>
    <cellStyle name="Heading 3 28 6" xfId="3850"/>
    <cellStyle name="Heading 3 28 7" xfId="4010"/>
    <cellStyle name="Heading 3 28 8" xfId="4128"/>
    <cellStyle name="Heading 3 29" xfId="1678"/>
    <cellStyle name="Heading 3 29 2" xfId="2846"/>
    <cellStyle name="Heading 3 29 3" xfId="3199"/>
    <cellStyle name="Heading 3 29 4" xfId="2276"/>
    <cellStyle name="Heading 3 29 5" xfId="3242"/>
    <cellStyle name="Heading 3 29 6" xfId="3495"/>
    <cellStyle name="Heading 3 29 7" xfId="3586"/>
    <cellStyle name="Heading 3 29 8" xfId="3786"/>
    <cellStyle name="Heading 3 3" xfId="131"/>
    <cellStyle name="Heading 3 30" xfId="1700"/>
    <cellStyle name="Heading 3 30 2" xfId="2864"/>
    <cellStyle name="Heading 3 30 3" xfId="3221"/>
    <cellStyle name="Heading 3 30 4" xfId="2092"/>
    <cellStyle name="Heading 3 30 5" xfId="2100"/>
    <cellStyle name="Heading 3 30 6" xfId="2059"/>
    <cellStyle name="Heading 3 30 7" xfId="3679"/>
    <cellStyle name="Heading 3 30 8" xfId="3870"/>
    <cellStyle name="Heading 3 4" xfId="462"/>
    <cellStyle name="Heading 3 5" xfId="596"/>
    <cellStyle name="Heading 3 6" xfId="558"/>
    <cellStyle name="Heading 3 7" xfId="697"/>
    <cellStyle name="Heading 3 8" xfId="737"/>
    <cellStyle name="Heading 3 9" xfId="776"/>
    <cellStyle name="Heading 4" xfId="35" builtinId="19" customBuiltin="1"/>
    <cellStyle name="Heading 4 10" xfId="781"/>
    <cellStyle name="Heading 4 11" xfId="815"/>
    <cellStyle name="Heading 4 12" xfId="849"/>
    <cellStyle name="Heading 4 13" xfId="881"/>
    <cellStyle name="Heading 4 14" xfId="915"/>
    <cellStyle name="Heading 4 15" xfId="939"/>
    <cellStyle name="Heading 4 16" xfId="1014"/>
    <cellStyle name="Heading 4 17" xfId="1124"/>
    <cellStyle name="Heading 4 18" xfId="1096"/>
    <cellStyle name="Heading 4 19" xfId="1183"/>
    <cellStyle name="Heading 4 2" xfId="103"/>
    <cellStyle name="Heading 4 2 2" xfId="5742"/>
    <cellStyle name="Heading 4 20" xfId="1214"/>
    <cellStyle name="Heading 4 21" xfId="1244"/>
    <cellStyle name="Heading 4 22" xfId="1268"/>
    <cellStyle name="Heading 4 23" xfId="1536"/>
    <cellStyle name="Heading 4 23 2" xfId="2725"/>
    <cellStyle name="Heading 4 23 3" xfId="3074"/>
    <cellStyle name="Heading 4 23 4" xfId="3341"/>
    <cellStyle name="Heading 4 23 5" xfId="3671"/>
    <cellStyle name="Heading 4 23 6" xfId="3863"/>
    <cellStyle name="Heading 4 23 7" xfId="4023"/>
    <cellStyle name="Heading 4 23 8" xfId="4136"/>
    <cellStyle name="Heading 4 24" xfId="1510"/>
    <cellStyle name="Heading 4 24 2" xfId="2703"/>
    <cellStyle name="Heading 4 24 3" xfId="3051"/>
    <cellStyle name="Heading 4 24 4" xfId="3308"/>
    <cellStyle name="Heading 4 24 5" xfId="2013"/>
    <cellStyle name="Heading 4 24 6" xfId="3632"/>
    <cellStyle name="Heading 4 24 7" xfId="3827"/>
    <cellStyle name="Heading 4 24 8" xfId="3989"/>
    <cellStyle name="Heading 4 25" xfId="1346"/>
    <cellStyle name="Heading 4 25 2" xfId="2545"/>
    <cellStyle name="Heading 4 25 3" xfId="2894"/>
    <cellStyle name="Heading 4 25 4" xfId="1778"/>
    <cellStyle name="Heading 4 25 5" xfId="2146"/>
    <cellStyle name="Heading 4 25 6" xfId="2870"/>
    <cellStyle name="Heading 4 25 7" xfId="1829"/>
    <cellStyle name="Heading 4 25 8" xfId="1963"/>
    <cellStyle name="Heading 4 26" xfId="1476"/>
    <cellStyle name="Heading 4 26 2" xfId="2670"/>
    <cellStyle name="Heading 4 26 3" xfId="3018"/>
    <cellStyle name="Heading 4 26 4" xfId="3467"/>
    <cellStyle name="Heading 4 26 5" xfId="3658"/>
    <cellStyle name="Heading 4 26 6" xfId="3851"/>
    <cellStyle name="Heading 4 26 7" xfId="4011"/>
    <cellStyle name="Heading 4 26 8" xfId="4129"/>
    <cellStyle name="Heading 4 27" xfId="1588"/>
    <cellStyle name="Heading 4 27 2" xfId="2766"/>
    <cellStyle name="Heading 4 27 3" xfId="3120"/>
    <cellStyle name="Heading 4 27 4" xfId="2194"/>
    <cellStyle name="Heading 4 27 5" xfId="3560"/>
    <cellStyle name="Heading 4 27 6" xfId="3764"/>
    <cellStyle name="Heading 4 27 7" xfId="3940"/>
    <cellStyle name="Heading 4 27 8" xfId="4083"/>
    <cellStyle name="Heading 4 28" xfId="1619"/>
    <cellStyle name="Heading 4 28 2" xfId="2796"/>
    <cellStyle name="Heading 4 28 3" xfId="3150"/>
    <cellStyle name="Heading 4 28 4" xfId="1945"/>
    <cellStyle name="Heading 4 28 5" xfId="3669"/>
    <cellStyle name="Heading 4 28 6" xfId="3862"/>
    <cellStyle name="Heading 4 28 7" xfId="4022"/>
    <cellStyle name="Heading 4 28 8" xfId="4135"/>
    <cellStyle name="Heading 4 29" xfId="1653"/>
    <cellStyle name="Heading 4 29 2" xfId="2825"/>
    <cellStyle name="Heading 4 29 3" xfId="3179"/>
    <cellStyle name="Heading 4 29 4" xfId="1786"/>
    <cellStyle name="Heading 4 29 5" xfId="3628"/>
    <cellStyle name="Heading 4 29 6" xfId="3823"/>
    <cellStyle name="Heading 4 29 7" xfId="3985"/>
    <cellStyle name="Heading 4 29 8" xfId="4111"/>
    <cellStyle name="Heading 4 3" xfId="132"/>
    <cellStyle name="Heading 4 30" xfId="1681"/>
    <cellStyle name="Heading 4 30 2" xfId="2849"/>
    <cellStyle name="Heading 4 30 3" xfId="3202"/>
    <cellStyle name="Heading 4 30 4" xfId="2001"/>
    <cellStyle name="Heading 4 30 5" xfId="3692"/>
    <cellStyle name="Heading 4 30 6" xfId="3882"/>
    <cellStyle name="Heading 4 30 7" xfId="4037"/>
    <cellStyle name="Heading 4 30 8" xfId="4147"/>
    <cellStyle name="Heading 4 4" xfId="463"/>
    <cellStyle name="Heading 4 5" xfId="594"/>
    <cellStyle name="Heading 4 6" xfId="562"/>
    <cellStyle name="Heading 4 7" xfId="662"/>
    <cellStyle name="Heading 4 8" xfId="702"/>
    <cellStyle name="Heading 4 9" xfId="742"/>
    <cellStyle name="Hyperlink" xfId="36" builtinId="8"/>
    <cellStyle name="Hyperlink_AppA_Muncde_2010" xfId="37"/>
    <cellStyle name="Input" xfId="38" builtinId="20" customBuiltin="1"/>
    <cellStyle name="Input 10" xfId="705"/>
    <cellStyle name="Input 11" xfId="745"/>
    <cellStyle name="Input 12" xfId="783"/>
    <cellStyle name="Input 13" xfId="817"/>
    <cellStyle name="Input 14" xfId="851"/>
    <cellStyle name="Input 15" xfId="884"/>
    <cellStyle name="Input 16" xfId="1016"/>
    <cellStyle name="Input 17" xfId="1119"/>
    <cellStyle name="Input 18" xfId="1105"/>
    <cellStyle name="Input 19" xfId="1149"/>
    <cellStyle name="Input 2" xfId="104"/>
    <cellStyle name="Input 2 2" xfId="5743"/>
    <cellStyle name="Input 20" xfId="1063"/>
    <cellStyle name="Input 21" xfId="1185"/>
    <cellStyle name="Input 22" xfId="1216"/>
    <cellStyle name="Input 23" xfId="1501"/>
    <cellStyle name="Input 23 2" xfId="2694"/>
    <cellStyle name="Input 23 3" xfId="3042"/>
    <cellStyle name="Input 23 4" xfId="2236"/>
    <cellStyle name="Input 23 5" xfId="3598"/>
    <cellStyle name="Input 23 6" xfId="3798"/>
    <cellStyle name="Input 23 7" xfId="3967"/>
    <cellStyle name="Input 23 8" xfId="4100"/>
    <cellStyle name="Input 24" xfId="1521"/>
    <cellStyle name="Input 24 2" xfId="2713"/>
    <cellStyle name="Input 24 3" xfId="3061"/>
    <cellStyle name="Input 24 4" xfId="2104"/>
    <cellStyle name="Input 24 5" xfId="2123"/>
    <cellStyle name="Input 24 6" xfId="3502"/>
    <cellStyle name="Input 24 7" xfId="3307"/>
    <cellStyle name="Input 24 8" xfId="3733"/>
    <cellStyle name="Input 25" xfId="1569"/>
    <cellStyle name="Input 25 2" xfId="2757"/>
    <cellStyle name="Input 25 3" xfId="3106"/>
    <cellStyle name="Input 25 4" xfId="3277"/>
    <cellStyle name="Input 25 5" xfId="1903"/>
    <cellStyle name="Input 25 6" xfId="3555"/>
    <cellStyle name="Input 25 7" xfId="3759"/>
    <cellStyle name="Input 25 8" xfId="3936"/>
    <cellStyle name="Input 26" xfId="1428"/>
    <cellStyle name="Input 26 2" xfId="2623"/>
    <cellStyle name="Input 26 3" xfId="2970"/>
    <cellStyle name="Input 26 4" xfId="1989"/>
    <cellStyle name="Input 26 5" xfId="1976"/>
    <cellStyle name="Input 26 6" xfId="3440"/>
    <cellStyle name="Input 26 7" xfId="2285"/>
    <cellStyle name="Input 26 8" xfId="2384"/>
    <cellStyle name="Input 27" xfId="1385"/>
    <cellStyle name="Input 27 2" xfId="2580"/>
    <cellStyle name="Input 27 3" xfId="2929"/>
    <cellStyle name="Input 27 4" xfId="2000"/>
    <cellStyle name="Input 27 5" xfId="3698"/>
    <cellStyle name="Input 27 6" xfId="3887"/>
    <cellStyle name="Input 27 7" xfId="4042"/>
    <cellStyle name="Input 27 8" xfId="4151"/>
    <cellStyle name="Input 28" xfId="1463"/>
    <cellStyle name="Input 28 2" xfId="2657"/>
    <cellStyle name="Input 28 3" xfId="3005"/>
    <cellStyle name="Input 28 4" xfId="2355"/>
    <cellStyle name="Input 28 5" xfId="1992"/>
    <cellStyle name="Input 28 6" xfId="3589"/>
    <cellStyle name="Input 28 7" xfId="3789"/>
    <cellStyle name="Input 28 8" xfId="3958"/>
    <cellStyle name="Input 29" xfId="1590"/>
    <cellStyle name="Input 29 2" xfId="2768"/>
    <cellStyle name="Input 29 3" xfId="3122"/>
    <cellStyle name="Input 29 4" xfId="1759"/>
    <cellStyle name="Input 29 5" xfId="3563"/>
    <cellStyle name="Input 29 6" xfId="3766"/>
    <cellStyle name="Input 29 7" xfId="3942"/>
    <cellStyle name="Input 29 8" xfId="4085"/>
    <cellStyle name="Input 3" xfId="133"/>
    <cellStyle name="Input 30" xfId="1621"/>
    <cellStyle name="Input 30 2" xfId="2798"/>
    <cellStyle name="Input 30 3" xfId="3152"/>
    <cellStyle name="Input 30 4" xfId="1996"/>
    <cellStyle name="Input 30 5" xfId="3640"/>
    <cellStyle name="Input 30 6" xfId="3833"/>
    <cellStyle name="Input 30 7" xfId="3994"/>
    <cellStyle name="Input 30 8" xfId="4116"/>
    <cellStyle name="Input 4" xfId="465"/>
    <cellStyle name="Input 5" xfId="589"/>
    <cellStyle name="Input 6" xfId="572"/>
    <cellStyle name="Input 7" xfId="620"/>
    <cellStyle name="Input 8" xfId="518"/>
    <cellStyle name="Input 9" xfId="665"/>
    <cellStyle name="Linked Cell" xfId="39" builtinId="24" customBuiltin="1"/>
    <cellStyle name="Linked Cell 10" xfId="727"/>
    <cellStyle name="Linked Cell 11" xfId="766"/>
    <cellStyle name="Linked Cell 12" xfId="802"/>
    <cellStyle name="Linked Cell 13" xfId="836"/>
    <cellStyle name="Linked Cell 14" xfId="869"/>
    <cellStyle name="Linked Cell 15" xfId="903"/>
    <cellStyle name="Linked Cell 16" xfId="1017"/>
    <cellStyle name="Linked Cell 17" xfId="1118"/>
    <cellStyle name="Linked Cell 18" xfId="1108"/>
    <cellStyle name="Linked Cell 19" xfId="1130"/>
    <cellStyle name="Linked Cell 2" xfId="105"/>
    <cellStyle name="Linked Cell 2 2" xfId="5744"/>
    <cellStyle name="Linked Cell 20" xfId="1085"/>
    <cellStyle name="Linked Cell 21" xfId="1203"/>
    <cellStyle name="Linked Cell 22" xfId="1234"/>
    <cellStyle name="Linked Cell 23" xfId="1495"/>
    <cellStyle name="Linked Cell 23 2" xfId="2688"/>
    <cellStyle name="Linked Cell 23 3" xfId="3036"/>
    <cellStyle name="Linked Cell 23 4" xfId="2034"/>
    <cellStyle name="Linked Cell 23 5" xfId="1841"/>
    <cellStyle name="Linked Cell 23 6" xfId="3713"/>
    <cellStyle name="Linked Cell 23 7" xfId="3899"/>
    <cellStyle name="Linked Cell 23 8" xfId="4053"/>
    <cellStyle name="Linked Cell 24" xfId="1526"/>
    <cellStyle name="Linked Cell 24 2" xfId="2716"/>
    <cellStyle name="Linked Cell 24 3" xfId="3065"/>
    <cellStyle name="Linked Cell 24 4" xfId="2087"/>
    <cellStyle name="Linked Cell 24 5" xfId="3270"/>
    <cellStyle name="Linked Cell 24 6" xfId="3517"/>
    <cellStyle name="Linked Cell 24 7" xfId="2031"/>
    <cellStyle name="Linked Cell 24 8" xfId="2033"/>
    <cellStyle name="Linked Cell 25" xfId="1556"/>
    <cellStyle name="Linked Cell 25 2" xfId="2744"/>
    <cellStyle name="Linked Cell 25 3" xfId="3093"/>
    <cellStyle name="Linked Cell 25 4" xfId="2257"/>
    <cellStyle name="Linked Cell 25 5" xfId="3211"/>
    <cellStyle name="Linked Cell 25 6" xfId="3527"/>
    <cellStyle name="Linked Cell 25 7" xfId="3375"/>
    <cellStyle name="Linked Cell 25 8" xfId="3432"/>
    <cellStyle name="Linked Cell 26" xfId="1470"/>
    <cellStyle name="Linked Cell 26 2" xfId="2664"/>
    <cellStyle name="Linked Cell 26 3" xfId="3012"/>
    <cellStyle name="Linked Cell 26 4" xfId="2192"/>
    <cellStyle name="Linked Cell 26 5" xfId="3717"/>
    <cellStyle name="Linked Cell 26 6" xfId="3902"/>
    <cellStyle name="Linked Cell 26 7" xfId="4055"/>
    <cellStyle name="Linked Cell 26 8" xfId="4160"/>
    <cellStyle name="Linked Cell 27" xfId="1357"/>
    <cellStyle name="Linked Cell 27 2" xfId="2555"/>
    <cellStyle name="Linked Cell 27 3" xfId="2905"/>
    <cellStyle name="Linked Cell 27 4" xfId="3455"/>
    <cellStyle name="Linked Cell 27 5" xfId="3645"/>
    <cellStyle name="Linked Cell 27 6" xfId="3838"/>
    <cellStyle name="Linked Cell 27 7" xfId="3999"/>
    <cellStyle name="Linked Cell 27 8" xfId="4121"/>
    <cellStyle name="Linked Cell 28" xfId="1493"/>
    <cellStyle name="Linked Cell 28 2" xfId="2686"/>
    <cellStyle name="Linked Cell 28 3" xfId="3034"/>
    <cellStyle name="Linked Cell 28 4" xfId="2066"/>
    <cellStyle name="Linked Cell 28 5" xfId="3257"/>
    <cellStyle name="Linked Cell 28 6" xfId="2035"/>
    <cellStyle name="Linked Cell 28 7" xfId="2248"/>
    <cellStyle name="Linked Cell 28 8" xfId="3299"/>
    <cellStyle name="Linked Cell 29" xfId="1608"/>
    <cellStyle name="Linked Cell 29 2" xfId="2786"/>
    <cellStyle name="Linked Cell 29 3" xfId="3140"/>
    <cellStyle name="Linked Cell 29 4" xfId="2151"/>
    <cellStyle name="Linked Cell 29 5" xfId="3115"/>
    <cellStyle name="Linked Cell 29 6" xfId="3509"/>
    <cellStyle name="Linked Cell 29 7" xfId="3603"/>
    <cellStyle name="Linked Cell 29 8" xfId="3802"/>
    <cellStyle name="Linked Cell 3" xfId="134"/>
    <cellStyle name="Linked Cell 30" xfId="1641"/>
    <cellStyle name="Linked Cell 30 2" xfId="2815"/>
    <cellStyle name="Linked Cell 30 3" xfId="3169"/>
    <cellStyle name="Linked Cell 30 4" xfId="2407"/>
    <cellStyle name="Linked Cell 30 5" xfId="3454"/>
    <cellStyle name="Linked Cell 30 6" xfId="2443"/>
    <cellStyle name="Linked Cell 30 7" xfId="2256"/>
    <cellStyle name="Linked Cell 30 8" xfId="3263"/>
    <cellStyle name="Linked Cell 4" xfId="466"/>
    <cellStyle name="Linked Cell 5" xfId="587"/>
    <cellStyle name="Linked Cell 6" xfId="575"/>
    <cellStyle name="Linked Cell 7" xfId="600"/>
    <cellStyle name="Linked Cell 8" xfId="549"/>
    <cellStyle name="Linked Cell 9" xfId="687"/>
    <cellStyle name="Neutral" xfId="40" builtinId="28" customBuiltin="1"/>
    <cellStyle name="Neutral 10" xfId="637"/>
    <cellStyle name="Neutral 11" xfId="497"/>
    <cellStyle name="Neutral 12" xfId="537"/>
    <cellStyle name="Neutral 13" xfId="638"/>
    <cellStyle name="Neutral 14" xfId="495"/>
    <cellStyle name="Neutral 15" xfId="540"/>
    <cellStyle name="Neutral 16" xfId="1018"/>
    <cellStyle name="Neutral 17" xfId="1117"/>
    <cellStyle name="Neutral 18" xfId="1139"/>
    <cellStyle name="Neutral 19" xfId="1075"/>
    <cellStyle name="Neutral 2" xfId="106"/>
    <cellStyle name="Neutral 2 2" xfId="5745"/>
    <cellStyle name="Neutral 20" xfId="1044"/>
    <cellStyle name="Neutral 21" xfId="1078"/>
    <cellStyle name="Neutral 22" xfId="1164"/>
    <cellStyle name="Neutral 23" xfId="1467"/>
    <cellStyle name="Neutral 23 2" xfId="2661"/>
    <cellStyle name="Neutral 23 3" xfId="3009"/>
    <cellStyle name="Neutral 23 4" xfId="2154"/>
    <cellStyle name="Neutral 23 5" xfId="3244"/>
    <cellStyle name="Neutral 23 6" xfId="2136"/>
    <cellStyle name="Neutral 23 7" xfId="1910"/>
    <cellStyle name="Neutral 23 8" xfId="1807"/>
    <cellStyle name="Neutral 24" xfId="1529"/>
    <cellStyle name="Neutral 24 2" xfId="2719"/>
    <cellStyle name="Neutral 24 3" xfId="3068"/>
    <cellStyle name="Neutral 24 4" xfId="2334"/>
    <cellStyle name="Neutral 24 5" xfId="3650"/>
    <cellStyle name="Neutral 24 6" xfId="3843"/>
    <cellStyle name="Neutral 24 7" xfId="4004"/>
    <cellStyle name="Neutral 24 8" xfId="4123"/>
    <cellStyle name="Neutral 25" xfId="1425"/>
    <cellStyle name="Neutral 25 2" xfId="2620"/>
    <cellStyle name="Neutral 25 3" xfId="2968"/>
    <cellStyle name="Neutral 25 4" xfId="3405"/>
    <cellStyle name="Neutral 25 5" xfId="3456"/>
    <cellStyle name="Neutral 25 6" xfId="2397"/>
    <cellStyle name="Neutral 25 7" xfId="3716"/>
    <cellStyle name="Neutral 25 8" xfId="3901"/>
    <cellStyle name="Neutral 26" xfId="1370"/>
    <cellStyle name="Neutral 26 2" xfId="2566"/>
    <cellStyle name="Neutral 26 3" xfId="2916"/>
    <cellStyle name="Neutral 26 4" xfId="1670"/>
    <cellStyle name="Neutral 26 5" xfId="1937"/>
    <cellStyle name="Neutral 26 6" xfId="2132"/>
    <cellStyle name="Neutral 26 7" xfId="2386"/>
    <cellStyle name="Neutral 26 8" xfId="1881"/>
    <cellStyle name="Neutral 27" xfId="1408"/>
    <cellStyle name="Neutral 27 2" xfId="2603"/>
    <cellStyle name="Neutral 27 3" xfId="2952"/>
    <cellStyle name="Neutral 27 4" xfId="2309"/>
    <cellStyle name="Neutral 27 5" xfId="2218"/>
    <cellStyle name="Neutral 27 6" xfId="3110"/>
    <cellStyle name="Neutral 27 7" xfId="3264"/>
    <cellStyle name="Neutral 27 8" xfId="2897"/>
    <cellStyle name="Neutral 28" xfId="1365"/>
    <cellStyle name="Neutral 28 2" xfId="2563"/>
    <cellStyle name="Neutral 28 3" xfId="2913"/>
    <cellStyle name="Neutral 28 4" xfId="3417"/>
    <cellStyle name="Neutral 28 5" xfId="2422"/>
    <cellStyle name="Neutral 28 6" xfId="2364"/>
    <cellStyle name="Neutral 28 7" xfId="3494"/>
    <cellStyle name="Neutral 28 8" xfId="3706"/>
    <cellStyle name="Neutral 29" xfId="1533"/>
    <cellStyle name="Neutral 29 2" xfId="2722"/>
    <cellStyle name="Neutral 29 3" xfId="3071"/>
    <cellStyle name="Neutral 29 4" xfId="1802"/>
    <cellStyle name="Neutral 29 5" xfId="3644"/>
    <cellStyle name="Neutral 29 6" xfId="3837"/>
    <cellStyle name="Neutral 29 7" xfId="3998"/>
    <cellStyle name="Neutral 29 8" xfId="4120"/>
    <cellStyle name="Neutral 3" xfId="135"/>
    <cellStyle name="Neutral 30" xfId="1404"/>
    <cellStyle name="Neutral 30 2" xfId="2599"/>
    <cellStyle name="Neutral 30 3" xfId="2948"/>
    <cellStyle name="Neutral 30 4" xfId="2081"/>
    <cellStyle name="Neutral 30 5" xfId="2275"/>
    <cellStyle name="Neutral 30 6" xfId="3590"/>
    <cellStyle name="Neutral 30 7" xfId="3790"/>
    <cellStyle name="Neutral 30 8" xfId="3959"/>
    <cellStyle name="Neutral 4" xfId="467"/>
    <cellStyle name="Neutral 5" xfId="585"/>
    <cellStyle name="Neutral 6" xfId="609"/>
    <cellStyle name="Neutral 7" xfId="534"/>
    <cellStyle name="Neutral 8" xfId="496"/>
    <cellStyle name="Neutral 9" xfId="539"/>
    <cellStyle name="Normal" xfId="0" builtinId="0"/>
    <cellStyle name="Normal 10" xfId="429"/>
    <cellStyle name="Normal 10 10" xfId="147"/>
    <cellStyle name="Normal 10 10 2" xfId="11350"/>
    <cellStyle name="Normal 10 10 3" xfId="13464"/>
    <cellStyle name="Normal 10 10 4" xfId="13127"/>
    <cellStyle name="Normal 10 10 5" xfId="11634"/>
    <cellStyle name="Normal 10 10 6" xfId="12105"/>
    <cellStyle name="Normal 10 10 7" xfId="13959"/>
    <cellStyle name="Normal 10 11" xfId="118"/>
    <cellStyle name="Normal 10 11 2" xfId="11322"/>
    <cellStyle name="Normal 10 11 3" xfId="14115"/>
    <cellStyle name="Normal 10 11 4" xfId="17824"/>
    <cellStyle name="Normal 10 11 5" xfId="22883"/>
    <cellStyle name="Normal 10 11 6" xfId="27854"/>
    <cellStyle name="Normal 10 11 7" xfId="32726"/>
    <cellStyle name="Normal 10 12" xfId="66"/>
    <cellStyle name="Normal 10 12 2" xfId="11280"/>
    <cellStyle name="Normal 10 12 3" xfId="12966"/>
    <cellStyle name="Normal 10 12 4" xfId="13624"/>
    <cellStyle name="Normal 10 12 5" xfId="13916"/>
    <cellStyle name="Normal 10 12 6" xfId="17648"/>
    <cellStyle name="Normal 10 12 7" xfId="22731"/>
    <cellStyle name="Normal 10 13" xfId="150"/>
    <cellStyle name="Normal 10 13 2" xfId="11353"/>
    <cellStyle name="Normal 10 13 3" xfId="13792"/>
    <cellStyle name="Normal 10 13 4" xfId="17533"/>
    <cellStyle name="Normal 10 13 5" xfId="22634"/>
    <cellStyle name="Normal 10 13 6" xfId="27661"/>
    <cellStyle name="Normal 10 13 7" xfId="32611"/>
    <cellStyle name="Normal 10 14" xfId="154"/>
    <cellStyle name="Normal 10 14 2" xfId="11357"/>
    <cellStyle name="Normal 10 14 3" xfId="12821"/>
    <cellStyle name="Normal 10 14 4" xfId="10675"/>
    <cellStyle name="Normal 10 14 5" xfId="12596"/>
    <cellStyle name="Normal 10 14 6" xfId="11859"/>
    <cellStyle name="Normal 10 14 7" xfId="12271"/>
    <cellStyle name="Normal 10 15" xfId="157"/>
    <cellStyle name="Normal 10 15 2" xfId="11360"/>
    <cellStyle name="Normal 10 15 3" xfId="12349"/>
    <cellStyle name="Normal 10 15 4" xfId="13594"/>
    <cellStyle name="Normal 10 15 5" xfId="11685"/>
    <cellStyle name="Normal 10 15 6" xfId="13877"/>
    <cellStyle name="Normal 10 15 7" xfId="17612"/>
    <cellStyle name="Normal 10 16" xfId="161"/>
    <cellStyle name="Normal 10 16 2" xfId="11364"/>
    <cellStyle name="Normal 10 16 3" xfId="11314"/>
    <cellStyle name="Normal 10 16 4" xfId="14052"/>
    <cellStyle name="Normal 10 16 5" xfId="17769"/>
    <cellStyle name="Normal 10 16 6" xfId="22835"/>
    <cellStyle name="Normal 10 16 7" xfId="27819"/>
    <cellStyle name="Normal 10 17" xfId="216"/>
    <cellStyle name="Normal 10 17 2" xfId="11416"/>
    <cellStyle name="Normal 10 17 3" xfId="13312"/>
    <cellStyle name="Normal 10 17 4" xfId="11328"/>
    <cellStyle name="Normal 10 17 5" xfId="13215"/>
    <cellStyle name="Normal 10 17 6" xfId="12612"/>
    <cellStyle name="Normal 10 17 7" xfId="13953"/>
    <cellStyle name="Normal 10 18" xfId="510"/>
    <cellStyle name="Normal 10 18 2" xfId="11682"/>
    <cellStyle name="Normal 10 18 3" xfId="12386"/>
    <cellStyle name="Normal 10 18 4" xfId="13806"/>
    <cellStyle name="Normal 10 18 5" xfId="17547"/>
    <cellStyle name="Normal 10 18 6" xfId="22645"/>
    <cellStyle name="Normal 10 18 7" xfId="27670"/>
    <cellStyle name="Normal 10 19" xfId="480"/>
    <cellStyle name="Normal 10 19 2" xfId="11661"/>
    <cellStyle name="Normal 10 19 3" xfId="14078"/>
    <cellStyle name="Normal 10 19 4" xfId="17792"/>
    <cellStyle name="Normal 10 19 5" xfId="22857"/>
    <cellStyle name="Normal 10 19 6" xfId="27835"/>
    <cellStyle name="Normal 10 19 7" xfId="32715"/>
    <cellStyle name="Normal 10 2" xfId="67"/>
    <cellStyle name="Normal 10 2 2" xfId="11281"/>
    <cellStyle name="Normal 10 2 3" xfId="12907"/>
    <cellStyle name="Normal 10 2 4" xfId="13434"/>
    <cellStyle name="Normal 10 2 5" xfId="13093"/>
    <cellStyle name="Normal 10 2 6" xfId="12881"/>
    <cellStyle name="Normal 10 2 7" xfId="12635"/>
    <cellStyle name="Normal 10 20" xfId="563"/>
    <cellStyle name="Normal 10 20 2" xfId="11720"/>
    <cellStyle name="Normal 10 20 3" xfId="13168"/>
    <cellStyle name="Normal 10 20 4" xfId="14098"/>
    <cellStyle name="Normal 10 20 5" xfId="17809"/>
    <cellStyle name="Normal 10 20 6" xfId="22871"/>
    <cellStyle name="Normal 10 20 7" xfId="27845"/>
    <cellStyle name="Normal 10 21" xfId="677"/>
    <cellStyle name="Normal 10 21 2" xfId="11803"/>
    <cellStyle name="Normal 10 21 3" xfId="14070"/>
    <cellStyle name="Normal 10 21 4" xfId="17784"/>
    <cellStyle name="Normal 10 21 5" xfId="22849"/>
    <cellStyle name="Normal 10 21 6" xfId="27829"/>
    <cellStyle name="Normal 10 21 7" xfId="32711"/>
    <cellStyle name="Normal 10 22" xfId="717"/>
    <cellStyle name="Normal 10 22 2" xfId="11828"/>
    <cellStyle name="Normal 10 22 3" xfId="12775"/>
    <cellStyle name="Normal 10 22 4" xfId="11329"/>
    <cellStyle name="Normal 10 22 5" xfId="12394"/>
    <cellStyle name="Normal 10 22 6" xfId="12306"/>
    <cellStyle name="Normal 10 22 7" xfId="14060"/>
    <cellStyle name="Normal 10 23" xfId="756"/>
    <cellStyle name="Normal 10 23 2" xfId="11855"/>
    <cellStyle name="Normal 10 23 3" xfId="12796"/>
    <cellStyle name="Normal 10 23 4" xfId="14064"/>
    <cellStyle name="Normal 10 23 5" xfId="17779"/>
    <cellStyle name="Normal 10 23 6" xfId="22845"/>
    <cellStyle name="Normal 10 23 7" xfId="27826"/>
    <cellStyle name="Normal 10 24" xfId="793"/>
    <cellStyle name="Normal 10 24 2" xfId="11880"/>
    <cellStyle name="Normal 10 24 3" xfId="10688"/>
    <cellStyle name="Normal 10 24 4" xfId="13846"/>
    <cellStyle name="Normal 10 24 5" xfId="17585"/>
    <cellStyle name="Normal 10 24 6" xfId="22679"/>
    <cellStyle name="Normal 10 24 7" xfId="27698"/>
    <cellStyle name="Normal 10 25" xfId="827"/>
    <cellStyle name="Normal 10 25 2" xfId="11899"/>
    <cellStyle name="Normal 10 25 3" xfId="13569"/>
    <cellStyle name="Normal 10 25 4" xfId="13339"/>
    <cellStyle name="Normal 10 25 5" xfId="12727"/>
    <cellStyle name="Normal 10 25 6" xfId="13134"/>
    <cellStyle name="Normal 10 25 7" xfId="13291"/>
    <cellStyle name="Normal 10 26" xfId="860"/>
    <cellStyle name="Normal 10 26 2" xfId="11926"/>
    <cellStyle name="Normal 10 26 3" xfId="13874"/>
    <cellStyle name="Normal 10 26 4" xfId="17609"/>
    <cellStyle name="Normal 10 26 5" xfId="22700"/>
    <cellStyle name="Normal 10 26 6" xfId="27714"/>
    <cellStyle name="Normal 10 26 7" xfId="32639"/>
    <cellStyle name="Normal 10 27" xfId="894"/>
    <cellStyle name="Normal 10 27 2" xfId="11950"/>
    <cellStyle name="Normal 10 27 3" xfId="11333"/>
    <cellStyle name="Normal 10 27 4" xfId="12644"/>
    <cellStyle name="Normal 10 27 5" xfId="12071"/>
    <cellStyle name="Normal 10 27 6" xfId="11331"/>
    <cellStyle name="Normal 10 27 7" xfId="12785"/>
    <cellStyle name="Normal 10 28" xfId="924"/>
    <cellStyle name="Normal 10 28 2" xfId="11969"/>
    <cellStyle name="Normal 10 28 3" xfId="13421"/>
    <cellStyle name="Normal 10 28 4" xfId="12022"/>
    <cellStyle name="Normal 10 28 5" xfId="13245"/>
    <cellStyle name="Normal 10 28 6" xfId="11693"/>
    <cellStyle name="Normal 10 28 7" xfId="11310"/>
    <cellStyle name="Normal 10 29" xfId="948"/>
    <cellStyle name="Normal 10 29 2" xfId="11987"/>
    <cellStyle name="Normal 10 29 3" xfId="13463"/>
    <cellStyle name="Normal 10 29 4" xfId="13372"/>
    <cellStyle name="Normal 10 29 5" xfId="12544"/>
    <cellStyle name="Normal 10 29 6" xfId="11834"/>
    <cellStyle name="Normal 10 29 7" xfId="13735"/>
    <cellStyle name="Normal 10 3" xfId="113"/>
    <cellStyle name="Normal 10 3 2" xfId="11317"/>
    <cellStyle name="Normal 10 3 3" xfId="12704"/>
    <cellStyle name="Normal 10 3 4" xfId="11887"/>
    <cellStyle name="Normal 10 3 5" xfId="13302"/>
    <cellStyle name="Normal 10 3 6" xfId="11872"/>
    <cellStyle name="Normal 10 3 7" xfId="11307"/>
    <cellStyle name="Normal 10 30" xfId="10427"/>
    <cellStyle name="Normal 10 31" xfId="10740"/>
    <cellStyle name="Normal 10 32" xfId="11024"/>
    <cellStyle name="Normal 10 33" xfId="11629"/>
    <cellStyle name="Normal 10 34" xfId="12812"/>
    <cellStyle name="Normal 10 35" xfId="13446"/>
    <cellStyle name="Normal 10 36" xfId="13461"/>
    <cellStyle name="Normal 10 37" xfId="14119"/>
    <cellStyle name="Normal 10 38" xfId="17827"/>
    <cellStyle name="Normal 10 4" xfId="148"/>
    <cellStyle name="Normal 10 4 2" xfId="11351"/>
    <cellStyle name="Normal 10 4 3" xfId="13222"/>
    <cellStyle name="Normal 10 4 4" xfId="13776"/>
    <cellStyle name="Normal 10 4 5" xfId="17519"/>
    <cellStyle name="Normal 10 4 6" xfId="22623"/>
    <cellStyle name="Normal 10 4 7" xfId="27652"/>
    <cellStyle name="Normal 10 5" xfId="117"/>
    <cellStyle name="Normal 10 5 2" xfId="11321"/>
    <cellStyle name="Normal 10 5 3" xfId="12411"/>
    <cellStyle name="Normal 10 5 4" xfId="12068"/>
    <cellStyle name="Normal 10 5 5" xfId="12698"/>
    <cellStyle name="Normal 10 5 6" xfId="12128"/>
    <cellStyle name="Normal 10 5 7" xfId="12589"/>
    <cellStyle name="Normal 10 6" xfId="65"/>
    <cellStyle name="Normal 10 6 2" xfId="11279"/>
    <cellStyle name="Normal 10 6 3" xfId="13748"/>
    <cellStyle name="Normal 10 6 4" xfId="17495"/>
    <cellStyle name="Normal 10 6 5" xfId="22605"/>
    <cellStyle name="Normal 10 6 6" xfId="27638"/>
    <cellStyle name="Normal 10 6 7" xfId="32595"/>
    <cellStyle name="Normal 10 7" xfId="63"/>
    <cellStyle name="Normal 10 7 2" xfId="11277"/>
    <cellStyle name="Normal 10 7 3" xfId="12416"/>
    <cellStyle name="Normal 10 7 4" xfId="12034"/>
    <cellStyle name="Normal 10 7 5" xfId="12264"/>
    <cellStyle name="Normal 10 7 6" xfId="12990"/>
    <cellStyle name="Normal 10 7 7" xfId="13763"/>
    <cellStyle name="Normal 10 8" xfId="112"/>
    <cellStyle name="Normal 10 8 2" xfId="11316"/>
    <cellStyle name="Normal 10 8 3" xfId="13801"/>
    <cellStyle name="Normal 10 8 4" xfId="17542"/>
    <cellStyle name="Normal 10 8 5" xfId="22640"/>
    <cellStyle name="Normal 10 8 6" xfId="27666"/>
    <cellStyle name="Normal 10 8 7" xfId="32614"/>
    <cellStyle name="Normal 10 9" xfId="114"/>
    <cellStyle name="Normal 10 9 2" xfId="11318"/>
    <cellStyle name="Normal 10 9 3" xfId="12969"/>
    <cellStyle name="Normal 10 9 4" xfId="13161"/>
    <cellStyle name="Normal 10 9 5" xfId="12686"/>
    <cellStyle name="Normal 10 9 6" xfId="14121"/>
    <cellStyle name="Normal 10 9 7" xfId="17829"/>
    <cellStyle name="Normal 100" xfId="923"/>
    <cellStyle name="Normal 100 2" xfId="11968"/>
    <cellStyle name="Normal 100 3" xfId="13676"/>
    <cellStyle name="Normal 100 4" xfId="13658"/>
    <cellStyle name="Normal 100 5" xfId="13492"/>
    <cellStyle name="Normal 100 6" xfId="12542"/>
    <cellStyle name="Normal 100 7" xfId="10679"/>
    <cellStyle name="Normal 101" xfId="947"/>
    <cellStyle name="Normal 101 2" xfId="11986"/>
    <cellStyle name="Normal 101 3" xfId="12513"/>
    <cellStyle name="Normal 101 4" xfId="13350"/>
    <cellStyle name="Normal 101 5" xfId="12369"/>
    <cellStyle name="Normal 101 6" xfId="11374"/>
    <cellStyle name="Normal 101 7" xfId="11263"/>
    <cellStyle name="Normal 102" xfId="962"/>
    <cellStyle name="Normal 102 10" xfId="17712"/>
    <cellStyle name="Normal 102 2" xfId="10657"/>
    <cellStyle name="Normal 102 3" xfId="10971"/>
    <cellStyle name="Normal 102 4" xfId="11255"/>
    <cellStyle name="Normal 102 5" xfId="11998"/>
    <cellStyle name="Normal 102 6" xfId="11918"/>
    <cellStyle name="Normal 102 7" xfId="12876"/>
    <cellStyle name="Normal 102 8" xfId="11826"/>
    <cellStyle name="Normal 102 9" xfId="13991"/>
    <cellStyle name="Normal 103" xfId="975"/>
    <cellStyle name="Normal 103 10" xfId="32623"/>
    <cellStyle name="Normal 103 2" xfId="10660"/>
    <cellStyle name="Normal 103 3" xfId="10974"/>
    <cellStyle name="Normal 103 4" xfId="11258"/>
    <cellStyle name="Normal 103 5" xfId="12011"/>
    <cellStyle name="Normal 103 6" xfId="13822"/>
    <cellStyle name="Normal 103 7" xfId="17562"/>
    <cellStyle name="Normal 103 8" xfId="22659"/>
    <cellStyle name="Normal 103 9" xfId="27682"/>
    <cellStyle name="Normal 104" xfId="4231"/>
    <cellStyle name="Normal 104 10" xfId="14200"/>
    <cellStyle name="Normal 104 11" xfId="17901"/>
    <cellStyle name="Normal 104 12" xfId="22944"/>
    <cellStyle name="Normal 104 13" xfId="27905"/>
    <cellStyle name="Normal 104 14" xfId="32763"/>
    <cellStyle name="Normal 104 15" xfId="37494"/>
    <cellStyle name="Normal 104 2" xfId="1314"/>
    <cellStyle name="Normal 104 2 2" xfId="12239"/>
    <cellStyle name="Normal 104 2 3" xfId="11777"/>
    <cellStyle name="Normal 104 2 4" xfId="13823"/>
    <cellStyle name="Normal 104 2 5" xfId="17563"/>
    <cellStyle name="Normal 104 2 6" xfId="22660"/>
    <cellStyle name="Normal 104 2 7" xfId="27683"/>
    <cellStyle name="Normal 104 3" xfId="1626"/>
    <cellStyle name="Normal 104 3 2" xfId="12462"/>
    <cellStyle name="Normal 104 3 3" xfId="14114"/>
    <cellStyle name="Normal 104 3 4" xfId="17823"/>
    <cellStyle name="Normal 104 3 5" xfId="22882"/>
    <cellStyle name="Normal 104 3 6" xfId="27853"/>
    <cellStyle name="Normal 104 3 7" xfId="32725"/>
    <cellStyle name="Normal 104 4" xfId="2531"/>
    <cellStyle name="Normal 104 4 2" xfId="13076"/>
    <cellStyle name="Normal 104 4 3" xfId="12956"/>
    <cellStyle name="Normal 104 4 4" xfId="13962"/>
    <cellStyle name="Normal 104 4 5" xfId="17688"/>
    <cellStyle name="Normal 104 4 6" xfId="22766"/>
    <cellStyle name="Normal 104 4 7" xfId="27769"/>
    <cellStyle name="Normal 104 5" xfId="1853"/>
    <cellStyle name="Normal 104 5 2" xfId="12613"/>
    <cellStyle name="Normal 104 5 3" xfId="13737"/>
    <cellStyle name="Normal 104 5 4" xfId="17485"/>
    <cellStyle name="Normal 104 5 5" xfId="22595"/>
    <cellStyle name="Normal 104 5 6" xfId="27633"/>
    <cellStyle name="Normal 104 5 7" xfId="32592"/>
    <cellStyle name="Normal 104 6" xfId="2109"/>
    <cellStyle name="Normal 104 6 2" xfId="12783"/>
    <cellStyle name="Normal 104 6 3" xfId="13377"/>
    <cellStyle name="Normal 104 6 4" xfId="11380"/>
    <cellStyle name="Normal 104 6 5" xfId="11654"/>
    <cellStyle name="Normal 104 6 6" xfId="13598"/>
    <cellStyle name="Normal 104 6 7" xfId="12570"/>
    <cellStyle name="Normal 104 7" xfId="3295"/>
    <cellStyle name="Normal 104 7 2" xfId="13596"/>
    <cellStyle name="Normal 104 7 3" xfId="11630"/>
    <cellStyle name="Normal 104 7 4" xfId="13171"/>
    <cellStyle name="Normal 104 7 5" xfId="13677"/>
    <cellStyle name="Normal 104 7 6" xfId="13648"/>
    <cellStyle name="Normal 104 7 7" xfId="11789"/>
    <cellStyle name="Normal 104 8" xfId="3442"/>
    <cellStyle name="Normal 104 8 2" xfId="13697"/>
    <cellStyle name="Normal 104 8 3" xfId="13619"/>
    <cellStyle name="Normal 104 8 4" xfId="12657"/>
    <cellStyle name="Normal 104 8 5" xfId="12978"/>
    <cellStyle name="Normal 104 8 6" xfId="12152"/>
    <cellStyle name="Normal 104 8 7" xfId="12736"/>
    <cellStyle name="Normal 104 9" xfId="1760"/>
    <cellStyle name="Normal 104 9 2" xfId="12552"/>
    <cellStyle name="Normal 104 9 3" xfId="13683"/>
    <cellStyle name="Normal 104 9 4" xfId="13701"/>
    <cellStyle name="Normal 104 9 5" xfId="11285"/>
    <cellStyle name="Normal 104 9 6" xfId="12346"/>
    <cellStyle name="Normal 104 9 7" xfId="13852"/>
    <cellStyle name="Normal 105" xfId="977"/>
    <cellStyle name="Normal 105 2" xfId="12013"/>
    <cellStyle name="Normal 105 3" xfId="13508"/>
    <cellStyle name="Normal 105 4" xfId="13332"/>
    <cellStyle name="Normal 105 5" xfId="13830"/>
    <cellStyle name="Normal 105 6" xfId="17570"/>
    <cellStyle name="Normal 105 7" xfId="22666"/>
    <cellStyle name="Normal 106" xfId="966"/>
    <cellStyle name="Normal 106 2" xfId="12002"/>
    <cellStyle name="Normal 106 3" xfId="11796"/>
    <cellStyle name="Normal 106 4" xfId="13178"/>
    <cellStyle name="Normal 106 5" xfId="13313"/>
    <cellStyle name="Normal 106 6" xfId="13963"/>
    <cellStyle name="Normal 106 7" xfId="17689"/>
    <cellStyle name="Normal 107" xfId="964"/>
    <cellStyle name="Normal 107 2" xfId="12000"/>
    <cellStyle name="Normal 107 3" xfId="11873"/>
    <cellStyle name="Normal 107 4" xfId="12088"/>
    <cellStyle name="Normal 107 5" xfId="13642"/>
    <cellStyle name="Normal 107 6" xfId="12172"/>
    <cellStyle name="Normal 107 7" xfId="11817"/>
    <cellStyle name="Normal 108" xfId="949"/>
    <cellStyle name="Normal 108 10" xfId="27738"/>
    <cellStyle name="Normal 108 2" xfId="10661"/>
    <cellStyle name="Normal 108 3" xfId="10975"/>
    <cellStyle name="Normal 108 4" xfId="11259"/>
    <cellStyle name="Normal 108 5" xfId="11988"/>
    <cellStyle name="Normal 108 6" xfId="13221"/>
    <cellStyle name="Normal 108 7" xfId="13915"/>
    <cellStyle name="Normal 108 8" xfId="17647"/>
    <cellStyle name="Normal 108 9" xfId="22730"/>
    <cellStyle name="Normal 109" xfId="891"/>
    <cellStyle name="Normal 109 10" xfId="12555"/>
    <cellStyle name="Normal 109 2" xfId="10662"/>
    <cellStyle name="Normal 109 3" xfId="10976"/>
    <cellStyle name="Normal 109 4" xfId="11260"/>
    <cellStyle name="Normal 109 5" xfId="11947"/>
    <cellStyle name="Normal 109 6" xfId="13537"/>
    <cellStyle name="Normal 109 7" xfId="11838"/>
    <cellStyle name="Normal 109 8" xfId="12493"/>
    <cellStyle name="Normal 109 9" xfId="12485"/>
    <cellStyle name="Normal 11" xfId="57"/>
    <cellStyle name="Normal 11 10" xfId="167"/>
    <cellStyle name="Normal 11 10 2" xfId="11369"/>
    <cellStyle name="Normal 11 10 3" xfId="11829"/>
    <cellStyle name="Normal 11 10 4" xfId="13549"/>
    <cellStyle name="Normal 11 10 5" xfId="13682"/>
    <cellStyle name="Normal 11 10 6" xfId="12944"/>
    <cellStyle name="Normal 11 10 7" xfId="14132"/>
    <cellStyle name="Normal 11 11" xfId="170"/>
    <cellStyle name="Normal 11 11 2" xfId="11372"/>
    <cellStyle name="Normal 11 11 3" xfId="11664"/>
    <cellStyle name="Normal 11 11 4" xfId="13705"/>
    <cellStyle name="Normal 11 11 5" xfId="11981"/>
    <cellStyle name="Normal 11 11 6" xfId="12348"/>
    <cellStyle name="Normal 11 11 7" xfId="12714"/>
    <cellStyle name="Normal 11 12" xfId="174"/>
    <cellStyle name="Normal 11 12 2" xfId="11376"/>
    <cellStyle name="Normal 11 12 3" xfId="11818"/>
    <cellStyle name="Normal 11 12 4" xfId="12111"/>
    <cellStyle name="Normal 11 12 5" xfId="12186"/>
    <cellStyle name="Normal 11 12 6" xfId="12255"/>
    <cellStyle name="Normal 11 12 7" xfId="12730"/>
    <cellStyle name="Normal 11 13" xfId="177"/>
    <cellStyle name="Normal 11 13 2" xfId="11379"/>
    <cellStyle name="Normal 11 13 3" xfId="11668"/>
    <cellStyle name="Normal 11 13 4" xfId="14182"/>
    <cellStyle name="Normal 11 13 5" xfId="17883"/>
    <cellStyle name="Normal 11 13 6" xfId="22927"/>
    <cellStyle name="Normal 11 13 7" xfId="27890"/>
    <cellStyle name="Normal 11 14" xfId="181"/>
    <cellStyle name="Normal 11 14 2" xfId="11383"/>
    <cellStyle name="Normal 11 14 3" xfId="14006"/>
    <cellStyle name="Normal 11 14 4" xfId="17726"/>
    <cellStyle name="Normal 11 14 5" xfId="22798"/>
    <cellStyle name="Normal 11 14 6" xfId="27793"/>
    <cellStyle name="Normal 11 14 7" xfId="32686"/>
    <cellStyle name="Normal 11 15" xfId="185"/>
    <cellStyle name="Normal 11 15 2" xfId="11386"/>
    <cellStyle name="Normal 11 15 3" xfId="13294"/>
    <cellStyle name="Normal 11 15 4" xfId="12151"/>
    <cellStyle name="Normal 11 15 5" xfId="13472"/>
    <cellStyle name="Normal 11 15 6" xfId="13403"/>
    <cellStyle name="Normal 11 15 7" xfId="13436"/>
    <cellStyle name="Normal 11 16" xfId="189"/>
    <cellStyle name="Normal 11 16 2" xfId="11390"/>
    <cellStyle name="Normal 11 16 3" xfId="14024"/>
    <cellStyle name="Normal 11 16 4" xfId="17742"/>
    <cellStyle name="Normal 11 16 5" xfId="22813"/>
    <cellStyle name="Normal 11 16 6" xfId="27805"/>
    <cellStyle name="Normal 11 16 7" xfId="32694"/>
    <cellStyle name="Normal 11 17" xfId="217"/>
    <cellStyle name="Normal 11 17 2" xfId="11417"/>
    <cellStyle name="Normal 11 17 3" xfId="13071"/>
    <cellStyle name="Normal 11 17 4" xfId="12723"/>
    <cellStyle name="Normal 11 17 5" xfId="12560"/>
    <cellStyle name="Normal 11 17 6" xfId="13253"/>
    <cellStyle name="Normal 11 17 7" xfId="13724"/>
    <cellStyle name="Normal 11 18" xfId="10428"/>
    <cellStyle name="Normal 11 19" xfId="10741"/>
    <cellStyle name="Normal 11 2" xfId="70"/>
    <cellStyle name="Normal 11 2 2" xfId="11284"/>
    <cellStyle name="Normal 11 2 3" xfId="13166"/>
    <cellStyle name="Normal 11 2 4" xfId="13116"/>
    <cellStyle name="Normal 11 2 5" xfId="11292"/>
    <cellStyle name="Normal 11 2 6" xfId="11951"/>
    <cellStyle name="Normal 11 2 7" xfId="13771"/>
    <cellStyle name="Normal 11 20" xfId="11025"/>
    <cellStyle name="Normal 11 21" xfId="11272"/>
    <cellStyle name="Normal 11 22" xfId="14135"/>
    <cellStyle name="Normal 11 23" xfId="17842"/>
    <cellStyle name="Normal 11 24" xfId="22897"/>
    <cellStyle name="Normal 11 25" xfId="27865"/>
    <cellStyle name="Normal 11 26" xfId="32734"/>
    <cellStyle name="Normal 11 3" xfId="116"/>
    <cellStyle name="Normal 11 3 2" xfId="11320"/>
    <cellStyle name="Normal 11 3 3" xfId="13227"/>
    <cellStyle name="Normal 11 3 4" xfId="12904"/>
    <cellStyle name="Normal 11 3 5" xfId="13922"/>
    <cellStyle name="Normal 11 3 6" xfId="17653"/>
    <cellStyle name="Normal 11 3 7" xfId="22735"/>
    <cellStyle name="Normal 11 4" xfId="64"/>
    <cellStyle name="Normal 11 4 2" xfId="11278"/>
    <cellStyle name="Normal 11 4 3" xfId="13672"/>
    <cellStyle name="Normal 11 4 4" xfId="13646"/>
    <cellStyle name="Normal 11 4 5" xfId="11847"/>
    <cellStyle name="Normal 11 4 6" xfId="14051"/>
    <cellStyle name="Normal 11 4 7" xfId="17768"/>
    <cellStyle name="Normal 11 5" xfId="149"/>
    <cellStyle name="Normal 11 5 2" xfId="11352"/>
    <cellStyle name="Normal 11 5 3" xfId="12403"/>
    <cellStyle name="Normal 11 5 4" xfId="14186"/>
    <cellStyle name="Normal 11 5 5" xfId="17887"/>
    <cellStyle name="Normal 11 5 6" xfId="22930"/>
    <cellStyle name="Normal 11 5 7" xfId="27892"/>
    <cellStyle name="Normal 11 6" xfId="153"/>
    <cellStyle name="Normal 11 6 2" xfId="11356"/>
    <cellStyle name="Normal 11 6 3" xfId="12598"/>
    <cellStyle name="Normal 11 6 4" xfId="11807"/>
    <cellStyle name="Normal 11 6 5" xfId="13199"/>
    <cellStyle name="Normal 11 6 6" xfId="14142"/>
    <cellStyle name="Normal 11 6 7" xfId="17847"/>
    <cellStyle name="Normal 11 7" xfId="156"/>
    <cellStyle name="Normal 11 7 2" xfId="11359"/>
    <cellStyle name="Normal 11 7 3" xfId="13169"/>
    <cellStyle name="Normal 11 7 4" xfId="13856"/>
    <cellStyle name="Normal 11 7 5" xfId="17592"/>
    <cellStyle name="Normal 11 7 6" xfId="22686"/>
    <cellStyle name="Normal 11 7 7" xfId="27703"/>
    <cellStyle name="Normal 11 8" xfId="160"/>
    <cellStyle name="Normal 11 8 2" xfId="11363"/>
    <cellStyle name="Normal 11 8 3" xfId="12147"/>
    <cellStyle name="Normal 11 8 4" xfId="12265"/>
    <cellStyle name="Normal 11 8 5" xfId="12603"/>
    <cellStyle name="Normal 11 8 6" xfId="12283"/>
    <cellStyle name="Normal 11 8 7" xfId="13818"/>
    <cellStyle name="Normal 11 9" xfId="163"/>
    <cellStyle name="Normal 11 9 2" xfId="11366"/>
    <cellStyle name="Normal 11 9 3" xfId="12112"/>
    <cellStyle name="Normal 11 9 4" xfId="12170"/>
    <cellStyle name="Normal 11 9 5" xfId="11914"/>
    <cellStyle name="Normal 11 9 6" xfId="13337"/>
    <cellStyle name="Normal 11 9 7" xfId="12297"/>
    <cellStyle name="Normal 110" xfId="967"/>
    <cellStyle name="Normal 110 10" xfId="27850"/>
    <cellStyle name="Normal 110 2" xfId="10663"/>
    <cellStyle name="Normal 110 3" xfId="10977"/>
    <cellStyle name="Normal 110 4" xfId="11261"/>
    <cellStyle name="Normal 110 5" xfId="12003"/>
    <cellStyle name="Normal 110 6" xfId="11723"/>
    <cellStyle name="Normal 110 7" xfId="14108"/>
    <cellStyle name="Normal 110 8" xfId="17818"/>
    <cellStyle name="Normal 110 9" xfId="22878"/>
    <cellStyle name="Normal 111" xfId="969"/>
    <cellStyle name="Normal 111 10" xfId="27740"/>
    <cellStyle name="Normal 111 2" xfId="10664"/>
    <cellStyle name="Normal 111 3" xfId="10978"/>
    <cellStyle name="Normal 111 4" xfId="11262"/>
    <cellStyle name="Normal 111 5" xfId="12005"/>
    <cellStyle name="Normal 111 6" xfId="11709"/>
    <cellStyle name="Normal 111 7" xfId="13919"/>
    <cellStyle name="Normal 111 8" xfId="17650"/>
    <cellStyle name="Normal 111 9" xfId="22733"/>
    <cellStyle name="Normal 112" xfId="971"/>
    <cellStyle name="Normal 112 2" xfId="12007"/>
    <cellStyle name="Normal 112 3" xfId="11644"/>
    <cellStyle name="Normal 112 4" xfId="13518"/>
    <cellStyle name="Normal 112 5" xfId="12850"/>
    <cellStyle name="Normal 112 6" xfId="12649"/>
    <cellStyle name="Normal 112 7" xfId="11903"/>
    <cellStyle name="Normal 113" xfId="973"/>
    <cellStyle name="Normal 113 2" xfId="12009"/>
    <cellStyle name="Normal 113 3" xfId="14065"/>
    <cellStyle name="Normal 113 4" xfId="17780"/>
    <cellStyle name="Normal 113 5" xfId="22846"/>
    <cellStyle name="Normal 113 6" xfId="27827"/>
    <cellStyle name="Normal 113 7" xfId="32709"/>
    <cellStyle name="Normal 114" xfId="978"/>
    <cellStyle name="Normal 114 2" xfId="12014"/>
    <cellStyle name="Normal 114 3" xfId="13263"/>
    <cellStyle name="Normal 114 4" xfId="13762"/>
    <cellStyle name="Normal 114 5" xfId="17507"/>
    <cellStyle name="Normal 114 6" xfId="22612"/>
    <cellStyle name="Normal 114 7" xfId="27644"/>
    <cellStyle name="Normal 115" xfId="1500"/>
    <cellStyle name="Normal 115 10" xfId="14076"/>
    <cellStyle name="Normal 115 11" xfId="17790"/>
    <cellStyle name="Normal 115 12" xfId="22855"/>
    <cellStyle name="Normal 115 13" xfId="27833"/>
    <cellStyle name="Normal 115 14" xfId="32713"/>
    <cellStyle name="Normal 115 2" xfId="2456"/>
    <cellStyle name="Normal 115 2 2" xfId="13003"/>
    <cellStyle name="Normal 115 2 3" xfId="13858"/>
    <cellStyle name="Normal 115 2 4" xfId="17594"/>
    <cellStyle name="Normal 115 2 5" xfId="22688"/>
    <cellStyle name="Normal 115 2 6" xfId="27705"/>
    <cellStyle name="Normal 115 2 7" xfId="32633"/>
    <cellStyle name="Normal 115 3" xfId="3041"/>
    <cellStyle name="Normal 115 3 2" xfId="13432"/>
    <cellStyle name="Normal 115 3 3" xfId="12836"/>
    <cellStyle name="Normal 115 3 4" xfId="14046"/>
    <cellStyle name="Normal 115 3 5" xfId="17763"/>
    <cellStyle name="Normal 115 3 6" xfId="22830"/>
    <cellStyle name="Normal 115 3 7" xfId="27815"/>
    <cellStyle name="Normal 115 4" xfId="1740"/>
    <cellStyle name="Normal 115 4 2" xfId="12541"/>
    <cellStyle name="Normal 115 4 3" xfId="11882"/>
    <cellStyle name="Normal 115 4 4" xfId="11707"/>
    <cellStyle name="Normal 115 4 5" xfId="11337"/>
    <cellStyle name="Normal 115 4 6" xfId="12269"/>
    <cellStyle name="Normal 115 4 7" xfId="13356"/>
    <cellStyle name="Normal 115 5" xfId="3689"/>
    <cellStyle name="Normal 115 5 2" xfId="13859"/>
    <cellStyle name="Normal 115 5 3" xfId="17595"/>
    <cellStyle name="Normal 115 5 4" xfId="22689"/>
    <cellStyle name="Normal 115 5 5" xfId="27706"/>
    <cellStyle name="Normal 115 5 6" xfId="32634"/>
    <cellStyle name="Normal 115 5 7" xfId="37458"/>
    <cellStyle name="Normal 115 6" xfId="3879"/>
    <cellStyle name="Normal 115 6 2" xfId="13996"/>
    <cellStyle name="Normal 115 6 3" xfId="17717"/>
    <cellStyle name="Normal 115 6 4" xfId="22790"/>
    <cellStyle name="Normal 115 6 5" xfId="27788"/>
    <cellStyle name="Normal 115 6 6" xfId="32682"/>
    <cellStyle name="Normal 115 6 7" xfId="37470"/>
    <cellStyle name="Normal 115 7" xfId="4034"/>
    <cellStyle name="Normal 115 7 2" xfId="14101"/>
    <cellStyle name="Normal 115 7 3" xfId="17811"/>
    <cellStyle name="Normal 115 7 4" xfId="22872"/>
    <cellStyle name="Normal 115 7 5" xfId="27846"/>
    <cellStyle name="Normal 115 7 6" xfId="32722"/>
    <cellStyle name="Normal 115 7 7" xfId="37478"/>
    <cellStyle name="Normal 115 8" xfId="4144"/>
    <cellStyle name="Normal 115 8 2" xfId="14174"/>
    <cellStyle name="Normal 115 8 3" xfId="17876"/>
    <cellStyle name="Normal 115 8 4" xfId="22923"/>
    <cellStyle name="Normal 115 8 5" xfId="27889"/>
    <cellStyle name="Normal 115 8 6" xfId="32750"/>
    <cellStyle name="Normal 115 8 7" xfId="37481"/>
    <cellStyle name="Normal 115 9" xfId="12370"/>
    <cellStyle name="Normal 116" xfId="981"/>
    <cellStyle name="Normal 116 2" xfId="12017"/>
    <cellStyle name="Normal 116 3" xfId="14139"/>
    <cellStyle name="Normal 116 4" xfId="17845"/>
    <cellStyle name="Normal 116 5" xfId="22900"/>
    <cellStyle name="Normal 116 6" xfId="27868"/>
    <cellStyle name="Normal 116 7" xfId="32737"/>
    <cellStyle name="Normal 117" xfId="1153"/>
    <cellStyle name="Normal 117 2" xfId="12132"/>
    <cellStyle name="Normal 117 3" xfId="12322"/>
    <cellStyle name="Normal 117 4" xfId="13510"/>
    <cellStyle name="Normal 117 5" xfId="12751"/>
    <cellStyle name="Normal 117 6" xfId="13130"/>
    <cellStyle name="Normal 117 7" xfId="12545"/>
    <cellStyle name="Normal 118" xfId="1194"/>
    <cellStyle name="Normal 118 2" xfId="12154"/>
    <cellStyle name="Normal 118 3" xfId="12257"/>
    <cellStyle name="Normal 118 4" xfId="13083"/>
    <cellStyle name="Normal 118 5" xfId="13520"/>
    <cellStyle name="Normal 118 6" xfId="13129"/>
    <cellStyle name="Normal 118 7" xfId="12639"/>
    <cellStyle name="Normal 119" xfId="1225"/>
    <cellStyle name="Normal 119 2" xfId="12173"/>
    <cellStyle name="Normal 119 3" xfId="10684"/>
    <cellStyle name="Normal 119 4" xfId="13611"/>
    <cellStyle name="Normal 119 5" xfId="13717"/>
    <cellStyle name="Normal 119 6" xfId="17468"/>
    <cellStyle name="Normal 119 7" xfId="22582"/>
    <cellStyle name="Normal 12" xfId="62"/>
    <cellStyle name="Normal 12 10" xfId="13831"/>
    <cellStyle name="Normal 12 11" xfId="17571"/>
    <cellStyle name="Normal 12 2" xfId="206"/>
    <cellStyle name="Normal 12 2 2" xfId="11406"/>
    <cellStyle name="Normal 12 2 3" xfId="13784"/>
    <cellStyle name="Normal 12 2 4" xfId="17526"/>
    <cellStyle name="Normal 12 2 5" xfId="22628"/>
    <cellStyle name="Normal 12 2 6" xfId="27656"/>
    <cellStyle name="Normal 12 2 7" xfId="32607"/>
    <cellStyle name="Normal 12 3" xfId="10408"/>
    <cellStyle name="Normal 12 4" xfId="10721"/>
    <cellStyle name="Normal 12 5" xfId="11005"/>
    <cellStyle name="Normal 12 6" xfId="11275"/>
    <cellStyle name="Normal 12 7" xfId="13471"/>
    <cellStyle name="Normal 12 8" xfId="12526"/>
    <cellStyle name="Normal 12 9" xfId="13654"/>
    <cellStyle name="Normal 120" xfId="1252"/>
    <cellStyle name="Normal 120 2" xfId="12189"/>
    <cellStyle name="Normal 120 3" xfId="13703"/>
    <cellStyle name="Normal 120 4" xfId="12074"/>
    <cellStyle name="Normal 120 5" xfId="13283"/>
    <cellStyle name="Normal 120 6" xfId="14177"/>
    <cellStyle name="Normal 120 7" xfId="17879"/>
    <cellStyle name="Normal 121" xfId="1276"/>
    <cellStyle name="Normal 121 2" xfId="12209"/>
    <cellStyle name="Normal 121 3" xfId="13636"/>
    <cellStyle name="Normal 121 4" xfId="13749"/>
    <cellStyle name="Normal 121 5" xfId="17496"/>
    <cellStyle name="Normal 121 6" xfId="22606"/>
    <cellStyle name="Normal 121 7" xfId="27639"/>
    <cellStyle name="Normal 122" xfId="1289"/>
    <cellStyle name="Normal 122 2" xfId="12215"/>
    <cellStyle name="Normal 122 3" xfId="12928"/>
    <cellStyle name="Normal 122 4" xfId="11768"/>
    <cellStyle name="Normal 122 5" xfId="14103"/>
    <cellStyle name="Normal 122 6" xfId="17813"/>
    <cellStyle name="Normal 122 7" xfId="22874"/>
    <cellStyle name="Normal 123" xfId="1292"/>
    <cellStyle name="Normal 123 2" xfId="12218"/>
    <cellStyle name="Normal 123 3" xfId="12687"/>
    <cellStyle name="Normal 123 4" xfId="13885"/>
    <cellStyle name="Normal 123 5" xfId="17619"/>
    <cellStyle name="Normal 123 6" xfId="22708"/>
    <cellStyle name="Normal 123 7" xfId="27719"/>
    <cellStyle name="Normal 124" xfId="1137"/>
    <cellStyle name="Normal 124 2" xfId="12121"/>
    <cellStyle name="Normal 124 3" xfId="10685"/>
    <cellStyle name="Normal 124 4" xfId="12446"/>
    <cellStyle name="Normal 124 5" xfId="12468"/>
    <cellStyle name="Normal 124 6" xfId="12196"/>
    <cellStyle name="Normal 124 7" xfId="12675"/>
    <cellStyle name="Normal 125" xfId="1269"/>
    <cellStyle name="Normal 125 2" xfId="12204"/>
    <cellStyle name="Normal 125 3" xfId="12748"/>
    <cellStyle name="Normal 125 4" xfId="13992"/>
    <cellStyle name="Normal 125 5" xfId="17713"/>
    <cellStyle name="Normal 125 6" xfId="22787"/>
    <cellStyle name="Normal 125 7" xfId="27785"/>
    <cellStyle name="Normal 126" xfId="1458"/>
    <cellStyle name="Normal 126 10" xfId="13392"/>
    <cellStyle name="Normal 126 11" xfId="12715"/>
    <cellStyle name="Normal 126 12" xfId="13276"/>
    <cellStyle name="Normal 126 13" xfId="13102"/>
    <cellStyle name="Normal 126 14" xfId="13095"/>
    <cellStyle name="Normal 126 2" xfId="2473"/>
    <cellStyle name="Normal 126 2 2" xfId="13020"/>
    <cellStyle name="Normal 126 2 3" xfId="12935"/>
    <cellStyle name="Normal 126 2 4" xfId="14075"/>
    <cellStyle name="Normal 126 2 5" xfId="17789"/>
    <cellStyle name="Normal 126 2 6" xfId="22854"/>
    <cellStyle name="Normal 126 2 7" xfId="27832"/>
    <cellStyle name="Normal 126 3" xfId="3000"/>
    <cellStyle name="Normal 126 3 2" xfId="13405"/>
    <cellStyle name="Normal 126 3 3" xfId="12374"/>
    <cellStyle name="Normal 126 3 4" xfId="13074"/>
    <cellStyle name="Normal 126 3 5" xfId="12505"/>
    <cellStyle name="Normal 126 3 6" xfId="12874"/>
    <cellStyle name="Normal 126 3 7" xfId="11916"/>
    <cellStyle name="Normal 126 4" xfId="1723"/>
    <cellStyle name="Normal 126 4 2" xfId="12527"/>
    <cellStyle name="Normal 126 4 3" xfId="12833"/>
    <cellStyle name="Normal 126 4 4" xfId="12536"/>
    <cellStyle name="Normal 126 4 5" xfId="12032"/>
    <cellStyle name="Normal 126 4 6" xfId="13325"/>
    <cellStyle name="Normal 126 4 7" xfId="13557"/>
    <cellStyle name="Normal 126 5" xfId="2180"/>
    <cellStyle name="Normal 126 5 2" xfId="12829"/>
    <cellStyle name="Normal 126 5 3" xfId="13629"/>
    <cellStyle name="Normal 126 5 4" xfId="12624"/>
    <cellStyle name="Normal 126 5 5" xfId="13143"/>
    <cellStyle name="Normal 126 5 6" xfId="13497"/>
    <cellStyle name="Normal 126 5 7" xfId="12663"/>
    <cellStyle name="Normal 126 6" xfId="3431"/>
    <cellStyle name="Normal 126 6 2" xfId="13687"/>
    <cellStyle name="Normal 126 6 3" xfId="12594"/>
    <cellStyle name="Normal 126 6 4" xfId="11884"/>
    <cellStyle name="Normal 126 6 5" xfId="13567"/>
    <cellStyle name="Normal 126 6 6" xfId="12774"/>
    <cellStyle name="Normal 126 6 7" xfId="12472"/>
    <cellStyle name="Normal 126 7" xfId="2037"/>
    <cellStyle name="Normal 126 7 2" xfId="12733"/>
    <cellStyle name="Normal 126 7 3" xfId="13104"/>
    <cellStyle name="Normal 126 7 4" xfId="12973"/>
    <cellStyle name="Normal 126 7 5" xfId="12406"/>
    <cellStyle name="Normal 126 7 6" xfId="13889"/>
    <cellStyle name="Normal 126 7 7" xfId="17623"/>
    <cellStyle name="Normal 126 8" xfId="3311"/>
    <cellStyle name="Normal 126 8 2" xfId="13603"/>
    <cellStyle name="Normal 126 8 3" xfId="13285"/>
    <cellStyle name="Normal 126 8 4" xfId="13862"/>
    <cellStyle name="Normal 126 8 5" xfId="17598"/>
    <cellStyle name="Normal 126 8 6" xfId="22691"/>
    <cellStyle name="Normal 126 8 7" xfId="27708"/>
    <cellStyle name="Normal 126 9" xfId="12343"/>
    <cellStyle name="Normal 127" xfId="1281"/>
    <cellStyle name="Normal 127 2" xfId="12211"/>
    <cellStyle name="Normal 127 3" xfId="14120"/>
    <cellStyle name="Normal 127 4" xfId="17828"/>
    <cellStyle name="Normal 127 5" xfId="22885"/>
    <cellStyle name="Normal 127 6" xfId="27855"/>
    <cellStyle name="Normal 127 7" xfId="32727"/>
    <cellStyle name="Normal 128" xfId="1291"/>
    <cellStyle name="Normal 128 2" xfId="12217"/>
    <cellStyle name="Normal 128 3" xfId="12620"/>
    <cellStyle name="Normal 128 4" xfId="13665"/>
    <cellStyle name="Normal 128 5" xfId="12984"/>
    <cellStyle name="Normal 128 6" xfId="11920"/>
    <cellStyle name="Normal 128 7" xfId="13360"/>
    <cellStyle name="Normal 129" xfId="1293"/>
    <cellStyle name="Normal 129 2" xfId="12219"/>
    <cellStyle name="Normal 129 3" xfId="13678"/>
    <cellStyle name="Normal 129 4" xfId="13479"/>
    <cellStyle name="Normal 129 5" xfId="12143"/>
    <cellStyle name="Normal 129 6" xfId="13417"/>
    <cellStyle name="Normal 129 7" xfId="12092"/>
    <cellStyle name="Normal 13" xfId="152"/>
    <cellStyle name="Normal 13 10" xfId="12342"/>
    <cellStyle name="Normal 13 11" xfId="12939"/>
    <cellStyle name="Normal 13 2" xfId="207"/>
    <cellStyle name="Normal 13 2 2" xfId="11407"/>
    <cellStyle name="Normal 13 2 3" xfId="12909"/>
    <cellStyle name="Normal 13 2 4" xfId="12372"/>
    <cellStyle name="Normal 13 2 5" xfId="13727"/>
    <cellStyle name="Normal 13 2 6" xfId="17476"/>
    <cellStyle name="Normal 13 2 7" xfId="22587"/>
    <cellStyle name="Normal 13 3" xfId="10410"/>
    <cellStyle name="Normal 13 4" xfId="10723"/>
    <cellStyle name="Normal 13 5" xfId="11007"/>
    <cellStyle name="Normal 13 6" xfId="11355"/>
    <cellStyle name="Normal 13 7" xfId="13667"/>
    <cellStyle name="Normal 13 8" xfId="12784"/>
    <cellStyle name="Normal 13 9" xfId="12962"/>
    <cellStyle name="Normal 130" xfId="1440"/>
    <cellStyle name="Normal 130 10" xfId="13597"/>
    <cellStyle name="Normal 130 11" xfId="13793"/>
    <cellStyle name="Normal 130 12" xfId="17534"/>
    <cellStyle name="Normal 130 13" xfId="22635"/>
    <cellStyle name="Normal 130 14" xfId="27662"/>
    <cellStyle name="Normal 130 2" xfId="2635"/>
    <cellStyle name="Normal 130 2 2" xfId="13148"/>
    <cellStyle name="Normal 130 2 3" xfId="13940"/>
    <cellStyle name="Normal 130 2 4" xfId="17668"/>
    <cellStyle name="Normal 130 2 5" xfId="22749"/>
    <cellStyle name="Normal 130 2 6" xfId="27753"/>
    <cellStyle name="Normal 130 2 7" xfId="32661"/>
    <cellStyle name="Normal 130 3" xfId="2982"/>
    <cellStyle name="Normal 130 3 2" xfId="13393"/>
    <cellStyle name="Normal 130 3 3" xfId="13310"/>
    <cellStyle name="Normal 130 3 4" xfId="13118"/>
    <cellStyle name="Normal 130 3 5" xfId="12060"/>
    <cellStyle name="Normal 130 3 6" xfId="12083"/>
    <cellStyle name="Normal 130 3 7" xfId="13851"/>
    <cellStyle name="Normal 130 4" xfId="2145"/>
    <cellStyle name="Normal 130 4 2" xfId="12807"/>
    <cellStyle name="Normal 130 4 3" xfId="12777"/>
    <cellStyle name="Normal 130 4 4" xfId="13857"/>
    <cellStyle name="Normal 130 4 5" xfId="17593"/>
    <cellStyle name="Normal 130 4 6" xfId="22687"/>
    <cellStyle name="Normal 130 4 7" xfId="27704"/>
    <cellStyle name="Normal 130 5" xfId="2336"/>
    <cellStyle name="Normal 130 5 2" xfId="12920"/>
    <cellStyle name="Normal 130 5 3" xfId="12027"/>
    <cellStyle name="Normal 130 5 4" xfId="13175"/>
    <cellStyle name="Normal 130 5 5" xfId="14025"/>
    <cellStyle name="Normal 130 5 6" xfId="17743"/>
    <cellStyle name="Normal 130 5 7" xfId="22814"/>
    <cellStyle name="Normal 130 6" xfId="3240"/>
    <cellStyle name="Normal 130 6 2" xfId="13562"/>
    <cellStyle name="Normal 130 6 3" xfId="13381"/>
    <cellStyle name="Normal 130 6 4" xfId="12964"/>
    <cellStyle name="Normal 130 6 5" xfId="13888"/>
    <cellStyle name="Normal 130 6 6" xfId="17622"/>
    <cellStyle name="Normal 130 6 7" xfId="22710"/>
    <cellStyle name="Normal 130 7" xfId="3360"/>
    <cellStyle name="Normal 130 7 2" xfId="13639"/>
    <cellStyle name="Normal 130 7 3" xfId="12350"/>
    <cellStyle name="Normal 130 7 4" xfId="13420"/>
    <cellStyle name="Normal 130 7 5" xfId="12039"/>
    <cellStyle name="Normal 130 7 6" xfId="13948"/>
    <cellStyle name="Normal 130 7 7" xfId="17676"/>
    <cellStyle name="Normal 130 8" xfId="1812"/>
    <cellStyle name="Normal 130 8 2" xfId="12585"/>
    <cellStyle name="Normal 130 8 3" xfId="12373"/>
    <cellStyle name="Normal 130 8 4" xfId="13314"/>
    <cellStyle name="Normal 130 8 5" xfId="13829"/>
    <cellStyle name="Normal 130 8 6" xfId="17569"/>
    <cellStyle name="Normal 130 8 7" xfId="22665"/>
    <cellStyle name="Normal 130 9" xfId="12332"/>
    <cellStyle name="Normal 131" xfId="1599"/>
    <cellStyle name="Normal 131 10" xfId="13273"/>
    <cellStyle name="Normal 131 11" xfId="12790"/>
    <cellStyle name="Normal 131 12" xfId="12915"/>
    <cellStyle name="Normal 131 13" xfId="13214"/>
    <cellStyle name="Normal 131 14" xfId="12272"/>
    <cellStyle name="Normal 131 2" xfId="2777"/>
    <cellStyle name="Normal 131 2 2" xfId="13250"/>
    <cellStyle name="Normal 131 2 3" xfId="11677"/>
    <cellStyle name="Normal 131 2 4" xfId="13467"/>
    <cellStyle name="Normal 131 2 5" xfId="13184"/>
    <cellStyle name="Normal 131 2 6" xfId="12024"/>
    <cellStyle name="Normal 131 2 7" xfId="13997"/>
    <cellStyle name="Normal 131 3" xfId="3131"/>
    <cellStyle name="Normal 131 3 2" xfId="13494"/>
    <cellStyle name="Normal 131 3 3" xfId="12473"/>
    <cellStyle name="Normal 131 3 4" xfId="12033"/>
    <cellStyle name="Normal 131 3 5" xfId="13082"/>
    <cellStyle name="Normal 131 3 6" xfId="13555"/>
    <cellStyle name="Normal 131 3 7" xfId="12650"/>
    <cellStyle name="Normal 131 4" xfId="3393"/>
    <cellStyle name="Normal 131 4 2" xfId="13662"/>
    <cellStyle name="Normal 131 4 3" xfId="12696"/>
    <cellStyle name="Normal 131 4 4" xfId="12198"/>
    <cellStyle name="Normal 131 4 5" xfId="13119"/>
    <cellStyle name="Normal 131 4 6" xfId="11958"/>
    <cellStyle name="Normal 131 4 7" xfId="13964"/>
    <cellStyle name="Normal 131 5" xfId="1787"/>
    <cellStyle name="Normal 131 5 2" xfId="12565"/>
    <cellStyle name="Normal 131 5 3" xfId="13153"/>
    <cellStyle name="Normal 131 5 4" xfId="12334"/>
    <cellStyle name="Normal 131 5 5" xfId="13441"/>
    <cellStyle name="Normal 131 5 6" xfId="13177"/>
    <cellStyle name="Normal 131 5 7" xfId="12999"/>
    <cellStyle name="Normal 131 6" xfId="1871"/>
    <cellStyle name="Normal 131 6 2" xfId="12622"/>
    <cellStyle name="Normal 131 6 3" xfId="12864"/>
    <cellStyle name="Normal 131 6 4" xfId="13449"/>
    <cellStyle name="Normal 131 6 5" xfId="14054"/>
    <cellStyle name="Normal 131 6 6" xfId="17770"/>
    <cellStyle name="Normal 131 6 7" xfId="22836"/>
    <cellStyle name="Normal 131 7" xfId="3524"/>
    <cellStyle name="Normal 131 7 2" xfId="13752"/>
    <cellStyle name="Normal 131 7 3" xfId="17498"/>
    <cellStyle name="Normal 131 7 4" xfId="22607"/>
    <cellStyle name="Normal 131 7 5" xfId="27640"/>
    <cellStyle name="Normal 131 7 6" xfId="32596"/>
    <cellStyle name="Normal 131 7 7" xfId="37450"/>
    <cellStyle name="Normal 131 8" xfId="2207"/>
    <cellStyle name="Normal 131 8 2" xfId="12842"/>
    <cellStyle name="Normal 131 8 3" xfId="12572"/>
    <cellStyle name="Normal 131 8 4" xfId="12289"/>
    <cellStyle name="Normal 131 8 5" xfId="12537"/>
    <cellStyle name="Normal 131 8 6" xfId="11990"/>
    <cellStyle name="Normal 131 8 7" xfId="12205"/>
    <cellStyle name="Normal 131 9" xfId="12445"/>
    <cellStyle name="Normal 132" xfId="1631"/>
    <cellStyle name="Normal 132 10" xfId="13128"/>
    <cellStyle name="Normal 132 11" xfId="12921"/>
    <cellStyle name="Normal 132 12" xfId="11997"/>
    <cellStyle name="Normal 132 13" xfId="11941"/>
    <cellStyle name="Normal 132 14" xfId="11645"/>
    <cellStyle name="Normal 132 2" xfId="2806"/>
    <cellStyle name="Normal 132 2 2" xfId="13267"/>
    <cellStyle name="Normal 132 2 3" xfId="14004"/>
    <cellStyle name="Normal 132 2 4" xfId="17724"/>
    <cellStyle name="Normal 132 2 5" xfId="22796"/>
    <cellStyle name="Normal 132 2 6" xfId="27792"/>
    <cellStyle name="Normal 132 2 7" xfId="32685"/>
    <cellStyle name="Normal 132 3" xfId="3160"/>
    <cellStyle name="Normal 132 3 2" xfId="13513"/>
    <cellStyle name="Normal 132 3 3" xfId="12987"/>
    <cellStyle name="Normal 132 3 4" xfId="11667"/>
    <cellStyle name="Normal 132 3 5" xfId="12276"/>
    <cellStyle name="Normal 132 3 6" xfId="13188"/>
    <cellStyle name="Normal 132 3 7" xfId="11883"/>
    <cellStyle name="Normal 132 4" xfId="3385"/>
    <cellStyle name="Normal 132 4 2" xfId="13656"/>
    <cellStyle name="Normal 132 4 3" xfId="12745"/>
    <cellStyle name="Normal 132 4 4" xfId="12293"/>
    <cellStyle name="Normal 132 4 5" xfId="11302"/>
    <cellStyle name="Normal 132 4 6" xfId="14020"/>
    <cellStyle name="Normal 132 4 7" xfId="17738"/>
    <cellStyle name="Normal 132 5" xfId="3293"/>
    <cellStyle name="Normal 132 5 2" xfId="13595"/>
    <cellStyle name="Normal 132 5 3" xfId="11739"/>
    <cellStyle name="Normal 132 5 4" xfId="13602"/>
    <cellStyle name="Normal 132 5 5" xfId="13628"/>
    <cellStyle name="Normal 132 5 6" xfId="12927"/>
    <cellStyle name="Normal 132 5 7" xfId="10674"/>
    <cellStyle name="Normal 132 6" xfId="3334"/>
    <cellStyle name="Normal 132 6 2" xfId="13621"/>
    <cellStyle name="Normal 132 6 3" xfId="13398"/>
    <cellStyle name="Normal 132 6 4" xfId="13443"/>
    <cellStyle name="Normal 132 6 5" xfId="14002"/>
    <cellStyle name="Normal 132 6 6" xfId="17722"/>
    <cellStyle name="Normal 132 6 7" xfId="22794"/>
    <cellStyle name="Normal 132 7" xfId="3330"/>
    <cellStyle name="Normal 132 7 2" xfId="13618"/>
    <cellStyle name="Normal 132 7 3" xfId="12770"/>
    <cellStyle name="Normal 132 7 4" xfId="11637"/>
    <cellStyle name="Normal 132 7 5" xfId="11675"/>
    <cellStyle name="Normal 132 7 6" xfId="13755"/>
    <cellStyle name="Normal 132 7 7" xfId="17500"/>
    <cellStyle name="Normal 132 8" xfId="2222"/>
    <cellStyle name="Normal 132 8 2" xfId="12853"/>
    <cellStyle name="Normal 132 8 3" xfId="12538"/>
    <cellStyle name="Normal 132 8 4" xfId="11953"/>
    <cellStyle name="Normal 132 8 5" xfId="13622"/>
    <cellStyle name="Normal 132 8 6" xfId="13156"/>
    <cellStyle name="Normal 132 8 7" xfId="14010"/>
    <cellStyle name="Normal 132 9" xfId="12466"/>
    <cellStyle name="Normal 133" xfId="1661"/>
    <cellStyle name="Normal 133 10" xfId="11640"/>
    <cellStyle name="Normal 133 11" xfId="11746"/>
    <cellStyle name="Normal 133 12" xfId="13803"/>
    <cellStyle name="Normal 133 13" xfId="17544"/>
    <cellStyle name="Normal 133 14" xfId="22642"/>
    <cellStyle name="Normal 133 2" xfId="2833"/>
    <cellStyle name="Normal 133 2 2" xfId="13286"/>
    <cellStyle name="Normal 133 2 3" xfId="12946"/>
    <cellStyle name="Normal 133 2 4" xfId="13904"/>
    <cellStyle name="Normal 133 2 5" xfId="17637"/>
    <cellStyle name="Normal 133 2 6" xfId="22723"/>
    <cellStyle name="Normal 133 2 7" xfId="27732"/>
    <cellStyle name="Normal 133 3" xfId="3187"/>
    <cellStyle name="Normal 133 3 2" xfId="13526"/>
    <cellStyle name="Normal 133 3 3" xfId="13176"/>
    <cellStyle name="Normal 133 3 4" xfId="13902"/>
    <cellStyle name="Normal 133 3 5" xfId="17635"/>
    <cellStyle name="Normal 133 3 6" xfId="22721"/>
    <cellStyle name="Normal 133 3 7" xfId="27730"/>
    <cellStyle name="Normal 133 4" xfId="3318"/>
    <cellStyle name="Normal 133 4 2" xfId="13607"/>
    <cellStyle name="Normal 133 4 3" xfId="13512"/>
    <cellStyle name="Normal 133 4 4" xfId="12679"/>
    <cellStyle name="Normal 133 4 5" xfId="13501"/>
    <cellStyle name="Normal 133 4 6" xfId="13946"/>
    <cellStyle name="Normal 133 4 7" xfId="17674"/>
    <cellStyle name="Normal 133 5" xfId="1923"/>
    <cellStyle name="Normal 133 5 2" xfId="12659"/>
    <cellStyle name="Normal 133 5 3" xfId="12934"/>
    <cellStyle name="Normal 133 5 4" xfId="11384"/>
    <cellStyle name="Normal 133 5 5" xfId="13872"/>
    <cellStyle name="Normal 133 5 6" xfId="17607"/>
    <cellStyle name="Normal 133 5 7" xfId="22698"/>
    <cellStyle name="Normal 133 6" xfId="1368"/>
    <cellStyle name="Normal 133 6 2" xfId="12284"/>
    <cellStyle name="Normal 133 6 3" xfId="12797"/>
    <cellStyle name="Normal 133 6 4" xfId="13956"/>
    <cellStyle name="Normal 133 6 5" xfId="17683"/>
    <cellStyle name="Normal 133 6 6" xfId="22762"/>
    <cellStyle name="Normal 133 6 7" xfId="27765"/>
    <cellStyle name="Normal 133 7" xfId="3428"/>
    <cellStyle name="Normal 133 7 2" xfId="13685"/>
    <cellStyle name="Normal 133 7 3" xfId="13348"/>
    <cellStyle name="Normal 133 7 4" xfId="12615"/>
    <cellStyle name="Normal 133 7 5" xfId="12792"/>
    <cellStyle name="Normal 133 7 6" xfId="13720"/>
    <cellStyle name="Normal 133 7 7" xfId="17471"/>
    <cellStyle name="Normal 133 8" xfId="1887"/>
    <cellStyle name="Normal 133 8 2" xfId="12633"/>
    <cellStyle name="Normal 133 8 3" xfId="13707"/>
    <cellStyle name="Normal 133 8 4" xfId="11944"/>
    <cellStyle name="Normal 133 8 5" xfId="13907"/>
    <cellStyle name="Normal 133 8 6" xfId="17640"/>
    <cellStyle name="Normal 133 8 7" xfId="22726"/>
    <cellStyle name="Normal 133 9" xfId="12481"/>
    <cellStyle name="Normal 134" xfId="1689"/>
    <cellStyle name="Normal 134 10" xfId="13616"/>
    <cellStyle name="Normal 134 11" xfId="12444"/>
    <cellStyle name="Normal 134 12" xfId="13519"/>
    <cellStyle name="Normal 134 13" xfId="13374"/>
    <cellStyle name="Normal 134 14" xfId="13390"/>
    <cellStyle name="Normal 134 2" xfId="2856"/>
    <cellStyle name="Normal 134 2 2" xfId="13301"/>
    <cellStyle name="Normal 134 2 3" xfId="11893"/>
    <cellStyle name="Normal 134 2 4" xfId="12484"/>
    <cellStyle name="Normal 134 2 5" xfId="13785"/>
    <cellStyle name="Normal 134 2 6" xfId="17527"/>
    <cellStyle name="Normal 134 2 7" xfId="22629"/>
    <cellStyle name="Normal 134 3" xfId="3210"/>
    <cellStyle name="Normal 134 3 2" xfId="13542"/>
    <cellStyle name="Normal 134 3 3" xfId="14030"/>
    <cellStyle name="Normal 134 3 4" xfId="17748"/>
    <cellStyle name="Normal 134 3 5" xfId="22818"/>
    <cellStyle name="Normal 134 3 6" xfId="27808"/>
    <cellStyle name="Normal 134 3 7" xfId="32696"/>
    <cellStyle name="Normal 134 4" xfId="3386"/>
    <cellStyle name="Normal 134 4 2" xfId="13657"/>
    <cellStyle name="Normal 134 4 3" xfId="13699"/>
    <cellStyle name="Normal 134 4 4" xfId="13190"/>
    <cellStyle name="Normal 134 4 5" xfId="10670"/>
    <cellStyle name="Normal 134 4 6" xfId="13638"/>
    <cellStyle name="Normal 134 4 7" xfId="13170"/>
    <cellStyle name="Normal 134 5" xfId="1765"/>
    <cellStyle name="Normal 134 5 2" xfId="12553"/>
    <cellStyle name="Normal 134 5 3" xfId="12563"/>
    <cellStyle name="Normal 134 5 4" xfId="13842"/>
    <cellStyle name="Normal 134 5 5" xfId="17582"/>
    <cellStyle name="Normal 134 5 6" xfId="22677"/>
    <cellStyle name="Normal 134 5 7" xfId="27697"/>
    <cellStyle name="Normal 134 6" xfId="3600"/>
    <cellStyle name="Normal 134 6 2" xfId="13804"/>
    <cellStyle name="Normal 134 6 3" xfId="17545"/>
    <cellStyle name="Normal 134 6 4" xfId="22643"/>
    <cellStyle name="Normal 134 6 5" xfId="27668"/>
    <cellStyle name="Normal 134 6 6" xfId="32615"/>
    <cellStyle name="Normal 134 6 7" xfId="37453"/>
    <cellStyle name="Normal 134 7" xfId="3800"/>
    <cellStyle name="Normal 134 7 2" xfId="13942"/>
    <cellStyle name="Normal 134 7 3" xfId="17670"/>
    <cellStyle name="Normal 134 7 4" xfId="22751"/>
    <cellStyle name="Normal 134 7 5" xfId="27755"/>
    <cellStyle name="Normal 134 7 6" xfId="32662"/>
    <cellStyle name="Normal 134 7 7" xfId="37465"/>
    <cellStyle name="Normal 134 8" xfId="3969"/>
    <cellStyle name="Normal 134 8 2" xfId="14055"/>
    <cellStyle name="Normal 134 8 3" xfId="17771"/>
    <cellStyle name="Normal 134 8 4" xfId="22837"/>
    <cellStyle name="Normal 134 8 5" xfId="27820"/>
    <cellStyle name="Normal 134 8 6" xfId="32703"/>
    <cellStyle name="Normal 134 8 7" xfId="37473"/>
    <cellStyle name="Normal 134 9" xfId="12498"/>
    <cellStyle name="Normal 135" xfId="1707"/>
    <cellStyle name="Normal 135 10" xfId="12690"/>
    <cellStyle name="Normal 135 11" xfId="13382"/>
    <cellStyle name="Normal 135 12" xfId="13452"/>
    <cellStyle name="Normal 135 13" xfId="13079"/>
    <cellStyle name="Normal 135 14" xfId="12910"/>
    <cellStyle name="Normal 135 2" xfId="2868"/>
    <cellStyle name="Normal 135 2 2" xfId="13307"/>
    <cellStyle name="Normal 135 2 3" xfId="13769"/>
    <cellStyle name="Normal 135 2 4" xfId="17513"/>
    <cellStyle name="Normal 135 2 5" xfId="22618"/>
    <cellStyle name="Normal 135 2 6" xfId="27647"/>
    <cellStyle name="Normal 135 2 7" xfId="32602"/>
    <cellStyle name="Normal 135 3" xfId="3225"/>
    <cellStyle name="Normal 135 3 2" xfId="13553"/>
    <cellStyle name="Normal 135 3 3" xfId="13272"/>
    <cellStyle name="Normal 135 3 4" xfId="13990"/>
    <cellStyle name="Normal 135 3 5" xfId="17711"/>
    <cellStyle name="Normal 135 3 6" xfId="22786"/>
    <cellStyle name="Normal 135 3 7" xfId="27784"/>
    <cellStyle name="Normal 135 4" xfId="2433"/>
    <cellStyle name="Normal 135 4 2" xfId="12988"/>
    <cellStyle name="Normal 135 4 3" xfId="11662"/>
    <cellStyle name="Normal 135 4 4" xfId="13971"/>
    <cellStyle name="Normal 135 4 5" xfId="17696"/>
    <cellStyle name="Normal 135 4 6" xfId="22772"/>
    <cellStyle name="Normal 135 4 7" xfId="27773"/>
    <cellStyle name="Normal 135 5" xfId="2690"/>
    <cellStyle name="Normal 135 5 2" xfId="13192"/>
    <cellStyle name="Normal 135 5 3" xfId="11665"/>
    <cellStyle name="Normal 135 5 4" xfId="13336"/>
    <cellStyle name="Normal 135 5 5" xfId="13115"/>
    <cellStyle name="Normal 135 5 6" xfId="12197"/>
    <cellStyle name="Normal 135 5 7" xfId="13365"/>
    <cellStyle name="Normal 135 6" xfId="1999"/>
    <cellStyle name="Normal 135 6 2" xfId="12705"/>
    <cellStyle name="Normal 135 6 3" xfId="10676"/>
    <cellStyle name="Normal 135 6 4" xfId="12887"/>
    <cellStyle name="Normal 135 6 5" xfId="13300"/>
    <cellStyle name="Normal 135 6 6" xfId="11938"/>
    <cellStyle name="Normal 135 6 7" xfId="11795"/>
    <cellStyle name="Normal 135 7" xfId="3423"/>
    <cellStyle name="Normal 135 7 2" xfId="13680"/>
    <cellStyle name="Normal 135 7 3" xfId="12651"/>
    <cellStyle name="Normal 135 7 4" xfId="10677"/>
    <cellStyle name="Normal 135 7 5" xfId="13634"/>
    <cellStyle name="Normal 135 7 6" xfId="12975"/>
    <cellStyle name="Normal 135 7 7" xfId="12206"/>
    <cellStyle name="Normal 135 8" xfId="2106"/>
    <cellStyle name="Normal 135 8 2" xfId="12780"/>
    <cellStyle name="Normal 135 8 3" xfId="13502"/>
    <cellStyle name="Normal 135 8 4" xfId="12989"/>
    <cellStyle name="Normal 135 8 5" xfId="11770"/>
    <cellStyle name="Normal 135 8 6" xfId="13861"/>
    <cellStyle name="Normal 135 8 7" xfId="17597"/>
    <cellStyle name="Normal 135 9" xfId="12512"/>
    <cellStyle name="Normal 136" xfId="4183"/>
    <cellStyle name="Normal 136 10" xfId="23045"/>
    <cellStyle name="Normal 136 11" xfId="28006"/>
    <cellStyle name="Normal 136 12" xfId="32864"/>
    <cellStyle name="Normal 136 13" xfId="37595"/>
    <cellStyle name="Normal 136 2" xfId="3491"/>
    <cellStyle name="Normal 136 2 2" xfId="13731"/>
    <cellStyle name="Normal 136 2 3" xfId="17480"/>
    <cellStyle name="Normal 136 2 4" xfId="22591"/>
    <cellStyle name="Normal 136 2 5" xfId="27629"/>
    <cellStyle name="Normal 136 2 6" xfId="32588"/>
    <cellStyle name="Normal 136 2 7" xfId="37446"/>
    <cellStyle name="Normal 136 3" xfId="3735"/>
    <cellStyle name="Normal 136 3 2" xfId="13894"/>
    <cellStyle name="Normal 136 3 3" xfId="17627"/>
    <cellStyle name="Normal 136 3 4" xfId="22713"/>
    <cellStyle name="Normal 136 3 5" xfId="27723"/>
    <cellStyle name="Normal 136 3 6" xfId="32644"/>
    <cellStyle name="Normal 136 3 7" xfId="37462"/>
    <cellStyle name="Normal 136 4" xfId="3919"/>
    <cellStyle name="Normal 136 4 2" xfId="14022"/>
    <cellStyle name="Normal 136 4 3" xfId="17740"/>
    <cellStyle name="Normal 136 4 4" xfId="22811"/>
    <cellStyle name="Normal 136 4 5" xfId="27803"/>
    <cellStyle name="Normal 136 4 6" xfId="32692"/>
    <cellStyle name="Normal 136 4 7" xfId="37472"/>
    <cellStyle name="Normal 136 5" xfId="4068"/>
    <cellStyle name="Normal 136 5 2" xfId="14127"/>
    <cellStyle name="Normal 136 5 3" xfId="17835"/>
    <cellStyle name="Normal 136 5 4" xfId="22891"/>
    <cellStyle name="Normal 136 5 5" xfId="27860"/>
    <cellStyle name="Normal 136 5 6" xfId="32730"/>
    <cellStyle name="Normal 136 5 7" xfId="37480"/>
    <cellStyle name="Normal 136 6" xfId="4167"/>
    <cellStyle name="Normal 136 6 2" xfId="14189"/>
    <cellStyle name="Normal 136 6 3" xfId="17890"/>
    <cellStyle name="Normal 136 6 4" xfId="22933"/>
    <cellStyle name="Normal 136 6 5" xfId="27894"/>
    <cellStyle name="Normal 136 6 6" xfId="32752"/>
    <cellStyle name="Normal 136 6 7" xfId="37483"/>
    <cellStyle name="Normal 136 7" xfId="4169"/>
    <cellStyle name="Normal 136 7 2" xfId="14191"/>
    <cellStyle name="Normal 136 7 3" xfId="17892"/>
    <cellStyle name="Normal 136 7 4" xfId="22935"/>
    <cellStyle name="Normal 136 7 5" xfId="27896"/>
    <cellStyle name="Normal 136 7 6" xfId="32754"/>
    <cellStyle name="Normal 136 7 7" xfId="37485"/>
    <cellStyle name="Normal 136 8" xfId="14205"/>
    <cellStyle name="Normal 136 9" xfId="18002"/>
    <cellStyle name="Normal 137" xfId="4197"/>
    <cellStyle name="Normal 137 10" xfId="22979"/>
    <cellStyle name="Normal 137 11" xfId="27940"/>
    <cellStyle name="Normal 137 12" xfId="32798"/>
    <cellStyle name="Normal 137 13" xfId="37529"/>
    <cellStyle name="Normal 137 2" xfId="3490"/>
    <cellStyle name="Normal 137 2 2" xfId="13730"/>
    <cellStyle name="Normal 137 2 3" xfId="17479"/>
    <cellStyle name="Normal 137 2 4" xfId="22590"/>
    <cellStyle name="Normal 137 2 5" xfId="27628"/>
    <cellStyle name="Normal 137 2 6" xfId="32587"/>
    <cellStyle name="Normal 137 2 7" xfId="37445"/>
    <cellStyle name="Normal 137 3" xfId="3734"/>
    <cellStyle name="Normal 137 3 2" xfId="13893"/>
    <cellStyle name="Normal 137 3 3" xfId="17626"/>
    <cellStyle name="Normal 137 3 4" xfId="22712"/>
    <cellStyle name="Normal 137 3 5" xfId="27722"/>
    <cellStyle name="Normal 137 3 6" xfId="32643"/>
    <cellStyle name="Normal 137 3 7" xfId="37461"/>
    <cellStyle name="Normal 137 4" xfId="3918"/>
    <cellStyle name="Normal 137 4 2" xfId="14021"/>
    <cellStyle name="Normal 137 4 3" xfId="17739"/>
    <cellStyle name="Normal 137 4 4" xfId="22810"/>
    <cellStyle name="Normal 137 4 5" xfId="27802"/>
    <cellStyle name="Normal 137 4 6" xfId="32691"/>
    <cellStyle name="Normal 137 4 7" xfId="37471"/>
    <cellStyle name="Normal 137 5" xfId="4067"/>
    <cellStyle name="Normal 137 5 2" xfId="14126"/>
    <cellStyle name="Normal 137 5 3" xfId="17834"/>
    <cellStyle name="Normal 137 5 4" xfId="22890"/>
    <cellStyle name="Normal 137 5 5" xfId="27859"/>
    <cellStyle name="Normal 137 5 6" xfId="32729"/>
    <cellStyle name="Normal 137 5 7" xfId="37479"/>
    <cellStyle name="Normal 137 6" xfId="4166"/>
    <cellStyle name="Normal 137 6 2" xfId="14188"/>
    <cellStyle name="Normal 137 6 3" xfId="17889"/>
    <cellStyle name="Normal 137 6 4" xfId="22932"/>
    <cellStyle name="Normal 137 6 5" xfId="27893"/>
    <cellStyle name="Normal 137 6 6" xfId="32751"/>
    <cellStyle name="Normal 137 6 7" xfId="37482"/>
    <cellStyle name="Normal 137 7" xfId="4168"/>
    <cellStyle name="Normal 137 7 2" xfId="14190"/>
    <cellStyle name="Normal 137 7 3" xfId="17891"/>
    <cellStyle name="Normal 137 7 4" xfId="22934"/>
    <cellStyle name="Normal 137 7 5" xfId="27895"/>
    <cellStyle name="Normal 137 7 6" xfId="32753"/>
    <cellStyle name="Normal 137 7 7" xfId="37484"/>
    <cellStyle name="Normal 137 8" xfId="14203"/>
    <cellStyle name="Normal 137 9" xfId="17936"/>
    <cellStyle name="Normal 138" xfId="4170"/>
    <cellStyle name="Normal 138 10" xfId="4711"/>
    <cellStyle name="Normal 138 10 2" xfId="6586"/>
    <cellStyle name="Normal 138 10 3" xfId="18704"/>
    <cellStyle name="Normal 138 10 4" xfId="23747"/>
    <cellStyle name="Normal 138 10 5" xfId="28708"/>
    <cellStyle name="Normal 138 10 6" xfId="33566"/>
    <cellStyle name="Normal 138 10 7" xfId="38297"/>
    <cellStyle name="Normal 138 11" xfId="4928"/>
    <cellStyle name="Normal 138 11 2" xfId="6596"/>
    <cellStyle name="Normal 138 11 3" xfId="18714"/>
    <cellStyle name="Normal 138 11 4" xfId="23757"/>
    <cellStyle name="Normal 138 11 5" xfId="28718"/>
    <cellStyle name="Normal 138 11 6" xfId="33576"/>
    <cellStyle name="Normal 138 11 7" xfId="38307"/>
    <cellStyle name="Normal 138 12" xfId="4938"/>
    <cellStyle name="Normal 138 12 2" xfId="6606"/>
    <cellStyle name="Normal 138 12 3" xfId="18724"/>
    <cellStyle name="Normal 138 12 4" xfId="23767"/>
    <cellStyle name="Normal 138 12 5" xfId="28728"/>
    <cellStyle name="Normal 138 12 6" xfId="33586"/>
    <cellStyle name="Normal 138 12 7" xfId="38317"/>
    <cellStyle name="Normal 138 13" xfId="4948"/>
    <cellStyle name="Normal 138 13 2" xfId="6616"/>
    <cellStyle name="Normal 138 13 3" xfId="18734"/>
    <cellStyle name="Normal 138 13 4" xfId="23777"/>
    <cellStyle name="Normal 138 13 5" xfId="28738"/>
    <cellStyle name="Normal 138 13 6" xfId="33596"/>
    <cellStyle name="Normal 138 13 7" xfId="38327"/>
    <cellStyle name="Normal 138 14" xfId="4956"/>
    <cellStyle name="Normal 138 14 2" xfId="6626"/>
    <cellStyle name="Normal 138 14 3" xfId="18744"/>
    <cellStyle name="Normal 138 14 4" xfId="23787"/>
    <cellStyle name="Normal 138 14 5" xfId="28748"/>
    <cellStyle name="Normal 138 14 6" xfId="33606"/>
    <cellStyle name="Normal 138 14 7" xfId="38337"/>
    <cellStyle name="Normal 138 15" xfId="5148"/>
    <cellStyle name="Normal 138 15 2" xfId="6636"/>
    <cellStyle name="Normal 138 15 3" xfId="18754"/>
    <cellStyle name="Normal 138 15 4" xfId="23797"/>
    <cellStyle name="Normal 138 15 5" xfId="28758"/>
    <cellStyle name="Normal 138 15 6" xfId="33616"/>
    <cellStyle name="Normal 138 15 7" xfId="38347"/>
    <cellStyle name="Normal 138 16" xfId="5158"/>
    <cellStyle name="Normal 138 16 2" xfId="6646"/>
    <cellStyle name="Normal 138 16 3" xfId="18764"/>
    <cellStyle name="Normal 138 16 4" xfId="23807"/>
    <cellStyle name="Normal 138 16 5" xfId="28768"/>
    <cellStyle name="Normal 138 16 6" xfId="33626"/>
    <cellStyle name="Normal 138 16 7" xfId="38357"/>
    <cellStyle name="Normal 138 17" xfId="5168"/>
    <cellStyle name="Normal 138 17 2" xfId="6654"/>
    <cellStyle name="Normal 138 17 3" xfId="18772"/>
    <cellStyle name="Normal 138 17 4" xfId="23815"/>
    <cellStyle name="Normal 138 17 5" xfId="28776"/>
    <cellStyle name="Normal 138 17 6" xfId="33634"/>
    <cellStyle name="Normal 138 17 7" xfId="38365"/>
    <cellStyle name="Normal 138 18" xfId="5176"/>
    <cellStyle name="Normal 138 18 2" xfId="6844"/>
    <cellStyle name="Normal 138 18 3" xfId="18965"/>
    <cellStyle name="Normal 138 18 4" xfId="24008"/>
    <cellStyle name="Normal 138 18 5" xfId="28969"/>
    <cellStyle name="Normal 138 18 6" xfId="33827"/>
    <cellStyle name="Normal 138 18 7" xfId="38558"/>
    <cellStyle name="Normal 138 19" xfId="5599"/>
    <cellStyle name="Normal 138 19 2" xfId="6854"/>
    <cellStyle name="Normal 138 19 3" xfId="18975"/>
    <cellStyle name="Normal 138 19 4" xfId="24018"/>
    <cellStyle name="Normal 138 19 5" xfId="28979"/>
    <cellStyle name="Normal 138 19 6" xfId="33837"/>
    <cellStyle name="Normal 138 19 7" xfId="38568"/>
    <cellStyle name="Normal 138 2" xfId="4357"/>
    <cellStyle name="Normal 138 2 2" xfId="5797"/>
    <cellStyle name="Normal 138 2 3" xfId="18601"/>
    <cellStyle name="Normal 138 2 4" xfId="23644"/>
    <cellStyle name="Normal 138 2 5" xfId="28605"/>
    <cellStyle name="Normal 138 2 6" xfId="33463"/>
    <cellStyle name="Normal 138 2 7" xfId="38194"/>
    <cellStyle name="Normal 138 20" xfId="5610"/>
    <cellStyle name="Normal 138 20 2" xfId="6864"/>
    <cellStyle name="Normal 138 20 3" xfId="18985"/>
    <cellStyle name="Normal 138 20 4" xfId="24028"/>
    <cellStyle name="Normal 138 20 5" xfId="28989"/>
    <cellStyle name="Normal 138 20 6" xfId="33847"/>
    <cellStyle name="Normal 138 20 7" xfId="38578"/>
    <cellStyle name="Normal 138 21" xfId="5620"/>
    <cellStyle name="Normal 138 21 2" xfId="6872"/>
    <cellStyle name="Normal 138 21 3" xfId="18993"/>
    <cellStyle name="Normal 138 21 4" xfId="24036"/>
    <cellStyle name="Normal 138 21 5" xfId="28997"/>
    <cellStyle name="Normal 138 21 6" xfId="33855"/>
    <cellStyle name="Normal 138 21 7" xfId="38586"/>
    <cellStyle name="Normal 138 22" xfId="5630"/>
    <cellStyle name="Normal 138 22 2" xfId="7368"/>
    <cellStyle name="Normal 138 22 3" xfId="19541"/>
    <cellStyle name="Normal 138 22 4" xfId="24584"/>
    <cellStyle name="Normal 138 22 5" xfId="29545"/>
    <cellStyle name="Normal 138 22 6" xfId="34403"/>
    <cellStyle name="Normal 138 22 7" xfId="39134"/>
    <cellStyle name="Normal 138 23" xfId="5640"/>
    <cellStyle name="Normal 138 23 2" xfId="7380"/>
    <cellStyle name="Normal 138 23 3" xfId="19553"/>
    <cellStyle name="Normal 138 23 4" xfId="24596"/>
    <cellStyle name="Normal 138 23 5" xfId="29557"/>
    <cellStyle name="Normal 138 23 6" xfId="34415"/>
    <cellStyle name="Normal 138 23 7" xfId="39146"/>
    <cellStyle name="Normal 138 24" xfId="5650"/>
    <cellStyle name="Normal 138 24 2" xfId="7392"/>
    <cellStyle name="Normal 138 24 3" xfId="19565"/>
    <cellStyle name="Normal 138 24 4" xfId="24608"/>
    <cellStyle name="Normal 138 24 5" xfId="29569"/>
    <cellStyle name="Normal 138 24 6" xfId="34427"/>
    <cellStyle name="Normal 138 24 7" xfId="39158"/>
    <cellStyle name="Normal 138 25" xfId="5660"/>
    <cellStyle name="Normal 138 25 2" xfId="7403"/>
    <cellStyle name="Normal 138 25 3" xfId="19576"/>
    <cellStyle name="Normal 138 25 4" xfId="24619"/>
    <cellStyle name="Normal 138 25 5" xfId="29580"/>
    <cellStyle name="Normal 138 25 6" xfId="34438"/>
    <cellStyle name="Normal 138 25 7" xfId="39169"/>
    <cellStyle name="Normal 138 26" xfId="5670"/>
    <cellStyle name="Normal 138 26 2" xfId="7413"/>
    <cellStyle name="Normal 138 26 3" xfId="19586"/>
    <cellStyle name="Normal 138 26 4" xfId="24629"/>
    <cellStyle name="Normal 138 26 5" xfId="29590"/>
    <cellStyle name="Normal 138 26 6" xfId="34448"/>
    <cellStyle name="Normal 138 26 7" xfId="39179"/>
    <cellStyle name="Normal 138 27" xfId="5678"/>
    <cellStyle name="Normal 138 27 2" xfId="7421"/>
    <cellStyle name="Normal 138 27 3" xfId="19596"/>
    <cellStyle name="Normal 138 27 4" xfId="24639"/>
    <cellStyle name="Normal 138 27 5" xfId="29600"/>
    <cellStyle name="Normal 138 27 6" xfId="34458"/>
    <cellStyle name="Normal 138 27 7" xfId="39189"/>
    <cellStyle name="Normal 138 28" xfId="5692"/>
    <cellStyle name="Normal 138 28 2" xfId="14489"/>
    <cellStyle name="Normal 138 28 3" xfId="19606"/>
    <cellStyle name="Normal 138 28 4" xfId="24649"/>
    <cellStyle name="Normal 138 28 5" xfId="29610"/>
    <cellStyle name="Normal 138 28 6" xfId="34468"/>
    <cellStyle name="Normal 138 28 7" xfId="39199"/>
    <cellStyle name="Normal 138 29" xfId="5702"/>
    <cellStyle name="Normal 138 29 2" xfId="14499"/>
    <cellStyle name="Normal 138 29 3" xfId="19616"/>
    <cellStyle name="Normal 138 29 4" xfId="24659"/>
    <cellStyle name="Normal 138 29 5" xfId="29620"/>
    <cellStyle name="Normal 138 29 6" xfId="34478"/>
    <cellStyle name="Normal 138 29 7" xfId="39209"/>
    <cellStyle name="Normal 138 3" xfId="4365"/>
    <cellStyle name="Normal 138 3 2" xfId="6499"/>
    <cellStyle name="Normal 138 3 3" xfId="18617"/>
    <cellStyle name="Normal 138 3 4" xfId="23660"/>
    <cellStyle name="Normal 138 3 5" xfId="28621"/>
    <cellStyle name="Normal 138 3 6" xfId="33479"/>
    <cellStyle name="Normal 138 3 7" xfId="38210"/>
    <cellStyle name="Normal 138 30" xfId="7435"/>
    <cellStyle name="Normal 138 30 2" xfId="14509"/>
    <cellStyle name="Normal 138 30 3" xfId="19626"/>
    <cellStyle name="Normal 138 30 4" xfId="24669"/>
    <cellStyle name="Normal 138 30 5" xfId="29630"/>
    <cellStyle name="Normal 138 30 6" xfId="34488"/>
    <cellStyle name="Normal 138 30 7" xfId="39219"/>
    <cellStyle name="Normal 138 31" xfId="7445"/>
    <cellStyle name="Normal 138 31 2" xfId="14519"/>
    <cellStyle name="Normal 138 31 3" xfId="19636"/>
    <cellStyle name="Normal 138 31 4" xfId="24679"/>
    <cellStyle name="Normal 138 31 5" xfId="29640"/>
    <cellStyle name="Normal 138 31 6" xfId="34498"/>
    <cellStyle name="Normal 138 31 7" xfId="39229"/>
    <cellStyle name="Normal 138 32" xfId="7455"/>
    <cellStyle name="Normal 138 32 2" xfId="14529"/>
    <cellStyle name="Normal 138 32 3" xfId="19646"/>
    <cellStyle name="Normal 138 32 4" xfId="24689"/>
    <cellStyle name="Normal 138 32 5" xfId="29650"/>
    <cellStyle name="Normal 138 32 6" xfId="34508"/>
    <cellStyle name="Normal 138 32 7" xfId="39239"/>
    <cellStyle name="Normal 138 33" xfId="7463"/>
    <cellStyle name="Normal 138 33 2" xfId="14537"/>
    <cellStyle name="Normal 138 33 3" xfId="19654"/>
    <cellStyle name="Normal 138 33 4" xfId="24697"/>
    <cellStyle name="Normal 138 33 5" xfId="29658"/>
    <cellStyle name="Normal 138 33 6" xfId="34516"/>
    <cellStyle name="Normal 138 33 7" xfId="39247"/>
    <cellStyle name="Normal 138 34" xfId="8090"/>
    <cellStyle name="Normal 138 34 2" xfId="15170"/>
    <cellStyle name="Normal 138 34 3" xfId="20287"/>
    <cellStyle name="Normal 138 34 4" xfId="25330"/>
    <cellStyle name="Normal 138 34 5" xfId="30291"/>
    <cellStyle name="Normal 138 34 6" xfId="35149"/>
    <cellStyle name="Normal 138 34 7" xfId="39880"/>
    <cellStyle name="Normal 138 35" xfId="8104"/>
    <cellStyle name="Normal 138 35 2" xfId="15184"/>
    <cellStyle name="Normal 138 35 3" xfId="20301"/>
    <cellStyle name="Normal 138 35 4" xfId="25344"/>
    <cellStyle name="Normal 138 35 5" xfId="30305"/>
    <cellStyle name="Normal 138 35 6" xfId="35163"/>
    <cellStyle name="Normal 138 35 7" xfId="39894"/>
    <cellStyle name="Normal 138 36" xfId="8117"/>
    <cellStyle name="Normal 138 36 2" xfId="15197"/>
    <cellStyle name="Normal 138 36 3" xfId="20314"/>
    <cellStyle name="Normal 138 36 4" xfId="25357"/>
    <cellStyle name="Normal 138 36 5" xfId="30318"/>
    <cellStyle name="Normal 138 36 6" xfId="35176"/>
    <cellStyle name="Normal 138 36 7" xfId="39907"/>
    <cellStyle name="Normal 138 37" xfId="8129"/>
    <cellStyle name="Normal 138 37 2" xfId="15209"/>
    <cellStyle name="Normal 138 37 3" xfId="20326"/>
    <cellStyle name="Normal 138 37 4" xfId="25369"/>
    <cellStyle name="Normal 138 37 5" xfId="30330"/>
    <cellStyle name="Normal 138 37 6" xfId="35188"/>
    <cellStyle name="Normal 138 37 7" xfId="39919"/>
    <cellStyle name="Normal 138 38" xfId="8141"/>
    <cellStyle name="Normal 138 38 2" xfId="15221"/>
    <cellStyle name="Normal 138 38 3" xfId="20338"/>
    <cellStyle name="Normal 138 38 4" xfId="25381"/>
    <cellStyle name="Normal 138 38 5" xfId="30342"/>
    <cellStyle name="Normal 138 38 6" xfId="35200"/>
    <cellStyle name="Normal 138 38 7" xfId="39931"/>
    <cellStyle name="Normal 138 39" xfId="8152"/>
    <cellStyle name="Normal 138 39 2" xfId="15232"/>
    <cellStyle name="Normal 138 39 3" xfId="20349"/>
    <cellStyle name="Normal 138 39 4" xfId="25392"/>
    <cellStyle name="Normal 138 39 5" xfId="30353"/>
    <cellStyle name="Normal 138 39 6" xfId="35211"/>
    <cellStyle name="Normal 138 39 7" xfId="39942"/>
    <cellStyle name="Normal 138 4" xfId="4373"/>
    <cellStyle name="Normal 138 4 2" xfId="6514"/>
    <cellStyle name="Normal 138 4 3" xfId="18632"/>
    <cellStyle name="Normal 138 4 4" xfId="23675"/>
    <cellStyle name="Normal 138 4 5" xfId="28636"/>
    <cellStyle name="Normal 138 4 6" xfId="33494"/>
    <cellStyle name="Normal 138 4 7" xfId="38225"/>
    <cellStyle name="Normal 138 40" xfId="8162"/>
    <cellStyle name="Normal 138 40 2" xfId="15242"/>
    <cellStyle name="Normal 138 40 3" xfId="20359"/>
    <cellStyle name="Normal 138 40 4" xfId="25402"/>
    <cellStyle name="Normal 138 40 5" xfId="30363"/>
    <cellStyle name="Normal 138 40 6" xfId="35221"/>
    <cellStyle name="Normal 138 40 7" xfId="39952"/>
    <cellStyle name="Normal 138 41" xfId="8172"/>
    <cellStyle name="Normal 138 41 2" xfId="15252"/>
    <cellStyle name="Normal 138 41 3" xfId="20369"/>
    <cellStyle name="Normal 138 41 4" xfId="25412"/>
    <cellStyle name="Normal 138 41 5" xfId="30373"/>
    <cellStyle name="Normal 138 41 6" xfId="35231"/>
    <cellStyle name="Normal 138 41 7" xfId="39962"/>
    <cellStyle name="Normal 138 42" xfId="8182"/>
    <cellStyle name="Normal 138 42 2" xfId="15262"/>
    <cellStyle name="Normal 138 42 3" xfId="20379"/>
    <cellStyle name="Normal 138 42 4" xfId="25422"/>
    <cellStyle name="Normal 138 42 5" xfId="30383"/>
    <cellStyle name="Normal 138 42 6" xfId="35241"/>
    <cellStyle name="Normal 138 42 7" xfId="39972"/>
    <cellStyle name="Normal 138 43" xfId="8192"/>
    <cellStyle name="Normal 138 43 2" xfId="15272"/>
    <cellStyle name="Normal 138 43 3" xfId="20389"/>
    <cellStyle name="Normal 138 43 4" xfId="25432"/>
    <cellStyle name="Normal 138 43 5" xfId="30393"/>
    <cellStyle name="Normal 138 43 6" xfId="35251"/>
    <cellStyle name="Normal 138 43 7" xfId="39982"/>
    <cellStyle name="Normal 138 44" xfId="8202"/>
    <cellStyle name="Normal 138 44 2" xfId="15282"/>
    <cellStyle name="Normal 138 44 3" xfId="20399"/>
    <cellStyle name="Normal 138 44 4" xfId="25442"/>
    <cellStyle name="Normal 138 44 5" xfId="30403"/>
    <cellStyle name="Normal 138 44 6" xfId="35261"/>
    <cellStyle name="Normal 138 44 7" xfId="39992"/>
    <cellStyle name="Normal 138 45" xfId="8212"/>
    <cellStyle name="Normal 138 45 2" xfId="15292"/>
    <cellStyle name="Normal 138 45 3" xfId="20409"/>
    <cellStyle name="Normal 138 45 4" xfId="25452"/>
    <cellStyle name="Normal 138 45 5" xfId="30413"/>
    <cellStyle name="Normal 138 45 6" xfId="35271"/>
    <cellStyle name="Normal 138 45 7" xfId="40002"/>
    <cellStyle name="Normal 138 46" xfId="8222"/>
    <cellStyle name="Normal 138 46 2" xfId="15302"/>
    <cellStyle name="Normal 138 46 3" xfId="20419"/>
    <cellStyle name="Normal 138 46 4" xfId="25462"/>
    <cellStyle name="Normal 138 46 5" xfId="30423"/>
    <cellStyle name="Normal 138 46 6" xfId="35281"/>
    <cellStyle name="Normal 138 46 7" xfId="40012"/>
    <cellStyle name="Normal 138 47" xfId="8230"/>
    <cellStyle name="Normal 138 47 2" xfId="15310"/>
    <cellStyle name="Normal 138 47 3" xfId="20427"/>
    <cellStyle name="Normal 138 47 4" xfId="25470"/>
    <cellStyle name="Normal 138 47 5" xfId="30431"/>
    <cellStyle name="Normal 138 47 6" xfId="35289"/>
    <cellStyle name="Normal 138 47 7" xfId="40020"/>
    <cellStyle name="Normal 138 48" xfId="8888"/>
    <cellStyle name="Normal 138 48 2" xfId="15969"/>
    <cellStyle name="Normal 138 48 3" xfId="21086"/>
    <cellStyle name="Normal 138 48 4" xfId="26129"/>
    <cellStyle name="Normal 138 48 5" xfId="31090"/>
    <cellStyle name="Normal 138 48 6" xfId="35948"/>
    <cellStyle name="Normal 138 48 7" xfId="40679"/>
    <cellStyle name="Normal 138 49" xfId="8901"/>
    <cellStyle name="Normal 138 49 2" xfId="15982"/>
    <cellStyle name="Normal 138 49 3" xfId="21099"/>
    <cellStyle name="Normal 138 49 4" xfId="26142"/>
    <cellStyle name="Normal 138 49 5" xfId="31103"/>
    <cellStyle name="Normal 138 49 6" xfId="35961"/>
    <cellStyle name="Normal 138 49 7" xfId="40692"/>
    <cellStyle name="Normal 138 5" xfId="4429"/>
    <cellStyle name="Normal 138 5 2" xfId="6528"/>
    <cellStyle name="Normal 138 5 3" xfId="18646"/>
    <cellStyle name="Normal 138 5 4" xfId="23689"/>
    <cellStyle name="Normal 138 5 5" xfId="28650"/>
    <cellStyle name="Normal 138 5 6" xfId="33508"/>
    <cellStyle name="Normal 138 5 7" xfId="38239"/>
    <cellStyle name="Normal 138 50" xfId="8915"/>
    <cellStyle name="Normal 138 50 2" xfId="15996"/>
    <cellStyle name="Normal 138 50 3" xfId="21113"/>
    <cellStyle name="Normal 138 50 4" xfId="26156"/>
    <cellStyle name="Normal 138 50 5" xfId="31117"/>
    <cellStyle name="Normal 138 50 6" xfId="35975"/>
    <cellStyle name="Normal 138 50 7" xfId="40706"/>
    <cellStyle name="Normal 138 51" xfId="8931"/>
    <cellStyle name="Normal 138 51 2" xfId="16012"/>
    <cellStyle name="Normal 138 51 3" xfId="21129"/>
    <cellStyle name="Normal 138 51 4" xfId="26172"/>
    <cellStyle name="Normal 138 51 5" xfId="31133"/>
    <cellStyle name="Normal 138 51 6" xfId="35991"/>
    <cellStyle name="Normal 138 51 7" xfId="40722"/>
    <cellStyle name="Normal 138 52" xfId="8946"/>
    <cellStyle name="Normal 138 52 2" xfId="16027"/>
    <cellStyle name="Normal 138 52 3" xfId="21144"/>
    <cellStyle name="Normal 138 52 4" xfId="26187"/>
    <cellStyle name="Normal 138 52 5" xfId="31148"/>
    <cellStyle name="Normal 138 52 6" xfId="36006"/>
    <cellStyle name="Normal 138 52 7" xfId="40737"/>
    <cellStyle name="Normal 138 53" xfId="8960"/>
    <cellStyle name="Normal 138 53 2" xfId="16041"/>
    <cellStyle name="Normal 138 53 3" xfId="21158"/>
    <cellStyle name="Normal 138 53 4" xfId="26201"/>
    <cellStyle name="Normal 138 53 5" xfId="31162"/>
    <cellStyle name="Normal 138 53 6" xfId="36020"/>
    <cellStyle name="Normal 138 53 7" xfId="40751"/>
    <cellStyle name="Normal 138 54" xfId="8974"/>
    <cellStyle name="Normal 138 54 2" xfId="16055"/>
    <cellStyle name="Normal 138 54 3" xfId="21172"/>
    <cellStyle name="Normal 138 54 4" xfId="26215"/>
    <cellStyle name="Normal 138 54 5" xfId="31176"/>
    <cellStyle name="Normal 138 54 6" xfId="36034"/>
    <cellStyle name="Normal 138 54 7" xfId="40765"/>
    <cellStyle name="Normal 138 55" xfId="8986"/>
    <cellStyle name="Normal 138 55 2" xfId="16067"/>
    <cellStyle name="Normal 138 55 3" xfId="21184"/>
    <cellStyle name="Normal 138 55 4" xfId="26227"/>
    <cellStyle name="Normal 138 55 5" xfId="31188"/>
    <cellStyle name="Normal 138 55 6" xfId="36046"/>
    <cellStyle name="Normal 138 55 7" xfId="40777"/>
    <cellStyle name="Normal 138 56" xfId="8996"/>
    <cellStyle name="Normal 138 56 2" xfId="16077"/>
    <cellStyle name="Normal 138 56 3" xfId="21194"/>
    <cellStyle name="Normal 138 56 4" xfId="26237"/>
    <cellStyle name="Normal 138 56 5" xfId="31198"/>
    <cellStyle name="Normal 138 56 6" xfId="36056"/>
    <cellStyle name="Normal 138 56 7" xfId="40787"/>
    <cellStyle name="Normal 138 57" xfId="9006"/>
    <cellStyle name="Normal 138 57 2" xfId="16087"/>
    <cellStyle name="Normal 138 57 3" xfId="21204"/>
    <cellStyle name="Normal 138 57 4" xfId="26247"/>
    <cellStyle name="Normal 138 57 5" xfId="31208"/>
    <cellStyle name="Normal 138 57 6" xfId="36066"/>
    <cellStyle name="Normal 138 57 7" xfId="40797"/>
    <cellStyle name="Normal 138 58" xfId="9016"/>
    <cellStyle name="Normal 138 58 2" xfId="16097"/>
    <cellStyle name="Normal 138 58 3" xfId="21214"/>
    <cellStyle name="Normal 138 58 4" xfId="26257"/>
    <cellStyle name="Normal 138 58 5" xfId="31218"/>
    <cellStyle name="Normal 138 58 6" xfId="36076"/>
    <cellStyle name="Normal 138 58 7" xfId="40807"/>
    <cellStyle name="Normal 138 59" xfId="9026"/>
    <cellStyle name="Normal 138 59 2" xfId="16107"/>
    <cellStyle name="Normal 138 59 3" xfId="21224"/>
    <cellStyle name="Normal 138 59 4" xfId="26267"/>
    <cellStyle name="Normal 138 59 5" xfId="31228"/>
    <cellStyle name="Normal 138 59 6" xfId="36086"/>
    <cellStyle name="Normal 138 59 7" xfId="40817"/>
    <cellStyle name="Normal 138 6" xfId="4485"/>
    <cellStyle name="Normal 138 6 2" xfId="6541"/>
    <cellStyle name="Normal 138 6 3" xfId="18659"/>
    <cellStyle name="Normal 138 6 4" xfId="23702"/>
    <cellStyle name="Normal 138 6 5" xfId="28663"/>
    <cellStyle name="Normal 138 6 6" xfId="33521"/>
    <cellStyle name="Normal 138 6 7" xfId="38252"/>
    <cellStyle name="Normal 138 60" xfId="9036"/>
    <cellStyle name="Normal 138 60 2" xfId="16117"/>
    <cellStyle name="Normal 138 60 3" xfId="21234"/>
    <cellStyle name="Normal 138 60 4" xfId="26277"/>
    <cellStyle name="Normal 138 60 5" xfId="31238"/>
    <cellStyle name="Normal 138 60 6" xfId="36096"/>
    <cellStyle name="Normal 138 60 7" xfId="40827"/>
    <cellStyle name="Normal 138 61" xfId="9046"/>
    <cellStyle name="Normal 138 61 2" xfId="16127"/>
    <cellStyle name="Normal 138 61 3" xfId="21244"/>
    <cellStyle name="Normal 138 61 4" xfId="26287"/>
    <cellStyle name="Normal 138 61 5" xfId="31248"/>
    <cellStyle name="Normal 138 61 6" xfId="36106"/>
    <cellStyle name="Normal 138 61 7" xfId="40837"/>
    <cellStyle name="Normal 138 62" xfId="9054"/>
    <cellStyle name="Normal 138 62 2" xfId="16135"/>
    <cellStyle name="Normal 138 62 3" xfId="21252"/>
    <cellStyle name="Normal 138 62 4" xfId="26295"/>
    <cellStyle name="Normal 138 62 5" xfId="31256"/>
    <cellStyle name="Normal 138 62 6" xfId="36114"/>
    <cellStyle name="Normal 138 62 7" xfId="40845"/>
    <cellStyle name="Normal 138 63" xfId="9601"/>
    <cellStyle name="Normal 138 63 2" xfId="16682"/>
    <cellStyle name="Normal 138 63 3" xfId="21799"/>
    <cellStyle name="Normal 138 63 4" xfId="26842"/>
    <cellStyle name="Normal 138 63 5" xfId="31803"/>
    <cellStyle name="Normal 138 63 6" xfId="36661"/>
    <cellStyle name="Normal 138 63 7" xfId="41392"/>
    <cellStyle name="Normal 138 64" xfId="9613"/>
    <cellStyle name="Normal 138 64 2" xfId="16694"/>
    <cellStyle name="Normal 138 64 3" xfId="21811"/>
    <cellStyle name="Normal 138 64 4" xfId="26854"/>
    <cellStyle name="Normal 138 64 5" xfId="31815"/>
    <cellStyle name="Normal 138 64 6" xfId="36673"/>
    <cellStyle name="Normal 138 64 7" xfId="41404"/>
    <cellStyle name="Normal 138 65" xfId="9625"/>
    <cellStyle name="Normal 138 65 2" xfId="16706"/>
    <cellStyle name="Normal 138 65 3" xfId="21823"/>
    <cellStyle name="Normal 138 65 4" xfId="26866"/>
    <cellStyle name="Normal 138 65 5" xfId="31827"/>
    <cellStyle name="Normal 138 65 6" xfId="36685"/>
    <cellStyle name="Normal 138 65 7" xfId="41416"/>
    <cellStyle name="Normal 138 66" xfId="9636"/>
    <cellStyle name="Normal 138 66 2" xfId="16717"/>
    <cellStyle name="Normal 138 66 3" xfId="21834"/>
    <cellStyle name="Normal 138 66 4" xfId="26877"/>
    <cellStyle name="Normal 138 66 5" xfId="31838"/>
    <cellStyle name="Normal 138 66 6" xfId="36696"/>
    <cellStyle name="Normal 138 66 7" xfId="41427"/>
    <cellStyle name="Normal 138 67" xfId="9646"/>
    <cellStyle name="Normal 138 67 2" xfId="16727"/>
    <cellStyle name="Normal 138 67 3" xfId="21844"/>
    <cellStyle name="Normal 138 67 4" xfId="26887"/>
    <cellStyle name="Normal 138 67 5" xfId="31848"/>
    <cellStyle name="Normal 138 67 6" xfId="36706"/>
    <cellStyle name="Normal 138 67 7" xfId="41437"/>
    <cellStyle name="Normal 138 68" xfId="9656"/>
    <cellStyle name="Normal 138 68 2" xfId="16737"/>
    <cellStyle name="Normal 138 68 3" xfId="21854"/>
    <cellStyle name="Normal 138 68 4" xfId="26897"/>
    <cellStyle name="Normal 138 68 5" xfId="31858"/>
    <cellStyle name="Normal 138 68 6" xfId="36716"/>
    <cellStyle name="Normal 138 68 7" xfId="41447"/>
    <cellStyle name="Normal 138 69" xfId="9666"/>
    <cellStyle name="Normal 138 69 2" xfId="16747"/>
    <cellStyle name="Normal 138 69 3" xfId="21864"/>
    <cellStyle name="Normal 138 69 4" xfId="26907"/>
    <cellStyle name="Normal 138 69 5" xfId="31868"/>
    <cellStyle name="Normal 138 69 6" xfId="36726"/>
    <cellStyle name="Normal 138 69 7" xfId="41457"/>
    <cellStyle name="Normal 138 7" xfId="4636"/>
    <cellStyle name="Normal 138 7 2" xfId="6553"/>
    <cellStyle name="Normal 138 7 3" xfId="18671"/>
    <cellStyle name="Normal 138 7 4" xfId="23714"/>
    <cellStyle name="Normal 138 7 5" xfId="28675"/>
    <cellStyle name="Normal 138 7 6" xfId="33533"/>
    <cellStyle name="Normal 138 7 7" xfId="38264"/>
    <cellStyle name="Normal 138 70" xfId="9676"/>
    <cellStyle name="Normal 138 70 2" xfId="16757"/>
    <cellStyle name="Normal 138 70 3" xfId="21874"/>
    <cellStyle name="Normal 138 70 4" xfId="26917"/>
    <cellStyle name="Normal 138 70 5" xfId="31878"/>
    <cellStyle name="Normal 138 70 6" xfId="36736"/>
    <cellStyle name="Normal 138 70 7" xfId="41467"/>
    <cellStyle name="Normal 138 71" xfId="9686"/>
    <cellStyle name="Normal 138 71 2" xfId="16767"/>
    <cellStyle name="Normal 138 71 3" xfId="21884"/>
    <cellStyle name="Normal 138 71 4" xfId="26927"/>
    <cellStyle name="Normal 138 71 5" xfId="31888"/>
    <cellStyle name="Normal 138 71 6" xfId="36746"/>
    <cellStyle name="Normal 138 71 7" xfId="41477"/>
    <cellStyle name="Normal 138 72" xfId="9696"/>
    <cellStyle name="Normal 138 72 2" xfId="16777"/>
    <cellStyle name="Normal 138 72 3" xfId="21894"/>
    <cellStyle name="Normal 138 72 4" xfId="26937"/>
    <cellStyle name="Normal 138 72 5" xfId="31898"/>
    <cellStyle name="Normal 138 72 6" xfId="36756"/>
    <cellStyle name="Normal 138 72 7" xfId="41487"/>
    <cellStyle name="Normal 138 73" xfId="9706"/>
    <cellStyle name="Normal 138 73 2" xfId="16787"/>
    <cellStyle name="Normal 138 73 3" xfId="21904"/>
    <cellStyle name="Normal 138 73 4" xfId="26947"/>
    <cellStyle name="Normal 138 73 5" xfId="31908"/>
    <cellStyle name="Normal 138 73 6" xfId="36766"/>
    <cellStyle name="Normal 138 73 7" xfId="41497"/>
    <cellStyle name="Normal 138 74" xfId="9714"/>
    <cellStyle name="Normal 138 74 2" xfId="16795"/>
    <cellStyle name="Normal 138 74 3" xfId="21912"/>
    <cellStyle name="Normal 138 74 4" xfId="26955"/>
    <cellStyle name="Normal 138 74 5" xfId="31916"/>
    <cellStyle name="Normal 138 74 6" xfId="36774"/>
    <cellStyle name="Normal 138 74 7" xfId="41505"/>
    <cellStyle name="Normal 138 75" xfId="9996"/>
    <cellStyle name="Normal 138 75 2" xfId="17077"/>
    <cellStyle name="Normal 138 75 3" xfId="22194"/>
    <cellStyle name="Normal 138 75 4" xfId="27237"/>
    <cellStyle name="Normal 138 75 5" xfId="32198"/>
    <cellStyle name="Normal 138 75 6" xfId="37056"/>
    <cellStyle name="Normal 138 75 7" xfId="41787"/>
    <cellStyle name="Normal 138 76" xfId="10006"/>
    <cellStyle name="Normal 138 76 2" xfId="17087"/>
    <cellStyle name="Normal 138 76 3" xfId="22204"/>
    <cellStyle name="Normal 138 76 4" xfId="27247"/>
    <cellStyle name="Normal 138 76 5" xfId="32208"/>
    <cellStyle name="Normal 138 76 6" xfId="37066"/>
    <cellStyle name="Normal 138 76 7" xfId="41797"/>
    <cellStyle name="Normal 138 77" xfId="10016"/>
    <cellStyle name="Normal 138 77 2" xfId="17097"/>
    <cellStyle name="Normal 138 77 3" xfId="22214"/>
    <cellStyle name="Normal 138 77 4" xfId="27257"/>
    <cellStyle name="Normal 138 77 5" xfId="32218"/>
    <cellStyle name="Normal 138 77 6" xfId="37076"/>
    <cellStyle name="Normal 138 77 7" xfId="41807"/>
    <cellStyle name="Normal 138 78" xfId="10026"/>
    <cellStyle name="Normal 138 78 2" xfId="17107"/>
    <cellStyle name="Normal 138 78 3" xfId="22224"/>
    <cellStyle name="Normal 138 78 4" xfId="27267"/>
    <cellStyle name="Normal 138 78 5" xfId="32228"/>
    <cellStyle name="Normal 138 78 6" xfId="37086"/>
    <cellStyle name="Normal 138 78 7" xfId="41817"/>
    <cellStyle name="Normal 138 79" xfId="10036"/>
    <cellStyle name="Normal 138 79 2" xfId="17117"/>
    <cellStyle name="Normal 138 79 3" xfId="22234"/>
    <cellStyle name="Normal 138 79 4" xfId="27277"/>
    <cellStyle name="Normal 138 79 5" xfId="32238"/>
    <cellStyle name="Normal 138 79 6" xfId="37096"/>
    <cellStyle name="Normal 138 79 7" xfId="41827"/>
    <cellStyle name="Normal 138 8" xfId="4644"/>
    <cellStyle name="Normal 138 8 2" xfId="6565"/>
    <cellStyle name="Normal 138 8 3" xfId="18683"/>
    <cellStyle name="Normal 138 8 4" xfId="23726"/>
    <cellStyle name="Normal 138 8 5" xfId="28687"/>
    <cellStyle name="Normal 138 8 6" xfId="33545"/>
    <cellStyle name="Normal 138 8 7" xfId="38276"/>
    <cellStyle name="Normal 138 80" xfId="10044"/>
    <cellStyle name="Normal 138 80 2" xfId="17125"/>
    <cellStyle name="Normal 138 80 3" xfId="22242"/>
    <cellStyle name="Normal 138 80 4" xfId="27285"/>
    <cellStyle name="Normal 138 80 5" xfId="32246"/>
    <cellStyle name="Normal 138 80 6" xfId="37104"/>
    <cellStyle name="Normal 138 80 7" xfId="41835"/>
    <cellStyle name="Normal 138 81" xfId="10326"/>
    <cellStyle name="Normal 138 81 2" xfId="17407"/>
    <cellStyle name="Normal 138 81 3" xfId="22524"/>
    <cellStyle name="Normal 138 81 4" xfId="27567"/>
    <cellStyle name="Normal 138 81 5" xfId="32528"/>
    <cellStyle name="Normal 138 81 6" xfId="37386"/>
    <cellStyle name="Normal 138 81 7" xfId="42117"/>
    <cellStyle name="Normal 138 82" xfId="10336"/>
    <cellStyle name="Normal 138 82 2" xfId="17417"/>
    <cellStyle name="Normal 138 82 3" xfId="22534"/>
    <cellStyle name="Normal 138 82 4" xfId="27577"/>
    <cellStyle name="Normal 138 82 5" xfId="32538"/>
    <cellStyle name="Normal 138 82 6" xfId="37396"/>
    <cellStyle name="Normal 138 82 7" xfId="42127"/>
    <cellStyle name="Normal 138 83" xfId="10346"/>
    <cellStyle name="Normal 138 83 2" xfId="17427"/>
    <cellStyle name="Normal 138 83 3" xfId="22544"/>
    <cellStyle name="Normal 138 83 4" xfId="27587"/>
    <cellStyle name="Normal 138 83 5" xfId="32548"/>
    <cellStyle name="Normal 138 83 6" xfId="37406"/>
    <cellStyle name="Normal 138 83 7" xfId="42137"/>
    <cellStyle name="Normal 138 84" xfId="10356"/>
    <cellStyle name="Normal 138 84 2" xfId="17437"/>
    <cellStyle name="Normal 138 84 3" xfId="22554"/>
    <cellStyle name="Normal 138 84 4" xfId="27597"/>
    <cellStyle name="Normal 138 84 5" xfId="32558"/>
    <cellStyle name="Normal 138 84 6" xfId="37416"/>
    <cellStyle name="Normal 138 84 7" xfId="42147"/>
    <cellStyle name="Normal 138 85" xfId="10366"/>
    <cellStyle name="Normal 138 85 2" xfId="17447"/>
    <cellStyle name="Normal 138 85 3" xfId="22564"/>
    <cellStyle name="Normal 138 85 4" xfId="27607"/>
    <cellStyle name="Normal 138 85 5" xfId="32568"/>
    <cellStyle name="Normal 138 85 6" xfId="37426"/>
    <cellStyle name="Normal 138 85 7" xfId="42157"/>
    <cellStyle name="Normal 138 86" xfId="10374"/>
    <cellStyle name="Normal 138 86 2" xfId="17455"/>
    <cellStyle name="Normal 138 86 3" xfId="22572"/>
    <cellStyle name="Normal 138 86 4" xfId="27615"/>
    <cellStyle name="Normal 138 86 5" xfId="32576"/>
    <cellStyle name="Normal 138 86 6" xfId="37434"/>
    <cellStyle name="Normal 138 86 7" xfId="42165"/>
    <cellStyle name="Normal 138 87" xfId="14192"/>
    <cellStyle name="Normal 138 88" xfId="17893"/>
    <cellStyle name="Normal 138 89" xfId="22936"/>
    <cellStyle name="Normal 138 9" xfId="4652"/>
    <cellStyle name="Normal 138 9 2" xfId="6576"/>
    <cellStyle name="Normal 138 9 3" xfId="18694"/>
    <cellStyle name="Normal 138 9 4" xfId="23737"/>
    <cellStyle name="Normal 138 9 5" xfId="28698"/>
    <cellStyle name="Normal 138 9 6" xfId="33556"/>
    <cellStyle name="Normal 138 9 7" xfId="38287"/>
    <cellStyle name="Normal 138 90" xfId="27897"/>
    <cellStyle name="Normal 138 91" xfId="32755"/>
    <cellStyle name="Normal 138 92" xfId="37486"/>
    <cellStyle name="Normal 139" xfId="4188"/>
    <cellStyle name="Normal 139 2" xfId="14202"/>
    <cellStyle name="Normal 139 3" xfId="17917"/>
    <cellStyle name="Normal 139 4" xfId="22960"/>
    <cellStyle name="Normal 139 5" xfId="27921"/>
    <cellStyle name="Normal 139 6" xfId="32779"/>
    <cellStyle name="Normal 139 7" xfId="37510"/>
    <cellStyle name="Normal 14" xfId="155"/>
    <cellStyle name="Normal 14 10" xfId="13484"/>
    <cellStyle name="Normal 14 11" xfId="10667"/>
    <cellStyle name="Normal 14 2" xfId="208"/>
    <cellStyle name="Normal 14 2 2" xfId="11408"/>
    <cellStyle name="Normal 14 2 3" xfId="13485"/>
    <cellStyle name="Normal 14 2 4" xfId="11835"/>
    <cellStyle name="Normal 14 2 5" xfId="13564"/>
    <cellStyle name="Normal 14 2 6" xfId="12319"/>
    <cellStyle name="Normal 14 2 7" xfId="12746"/>
    <cellStyle name="Normal 14 3" xfId="10412"/>
    <cellStyle name="Normal 14 4" xfId="10725"/>
    <cellStyle name="Normal 14 5" xfId="11009"/>
    <cellStyle name="Normal 14 6" xfId="11358"/>
    <cellStyle name="Normal 14 7" xfId="13411"/>
    <cellStyle name="Normal 14 8" xfId="13183"/>
    <cellStyle name="Normal 14 9" xfId="12137"/>
    <cellStyle name="Normal 140" xfId="4206"/>
    <cellStyle name="Normal 140 2" xfId="14210"/>
    <cellStyle name="Normal 140 3" xfId="18402"/>
    <cellStyle name="Normal 140 4" xfId="23445"/>
    <cellStyle name="Normal 140 5" xfId="28406"/>
    <cellStyle name="Normal 140 6" xfId="33264"/>
    <cellStyle name="Normal 140 7" xfId="37995"/>
    <cellStyle name="Normal 141" xfId="2043"/>
    <cellStyle name="Normal 141 10" xfId="4684"/>
    <cellStyle name="Normal 141 10 2" xfId="6292"/>
    <cellStyle name="Normal 141 10 3" xfId="18398"/>
    <cellStyle name="Normal 141 10 4" xfId="23441"/>
    <cellStyle name="Normal 141 10 5" xfId="28402"/>
    <cellStyle name="Normal 141 10 6" xfId="33260"/>
    <cellStyle name="Normal 141 10 7" xfId="37991"/>
    <cellStyle name="Normal 141 11" xfId="4720"/>
    <cellStyle name="Normal 141 11 2" xfId="6276"/>
    <cellStyle name="Normal 141 11 3" xfId="18380"/>
    <cellStyle name="Normal 141 11 4" xfId="23423"/>
    <cellStyle name="Normal 141 11 5" xfId="28384"/>
    <cellStyle name="Normal 141 11 6" xfId="33242"/>
    <cellStyle name="Normal 141 11 7" xfId="37973"/>
    <cellStyle name="Normal 141 12" xfId="4831"/>
    <cellStyle name="Normal 141 12 2" xfId="5915"/>
    <cellStyle name="Normal 141 12 3" xfId="18017"/>
    <cellStyle name="Normal 141 12 4" xfId="23060"/>
    <cellStyle name="Normal 141 12 5" xfId="28021"/>
    <cellStyle name="Normal 141 12 6" xfId="32879"/>
    <cellStyle name="Normal 141 12 7" xfId="37610"/>
    <cellStyle name="Normal 141 13" xfId="4819"/>
    <cellStyle name="Normal 141 13 2" xfId="6204"/>
    <cellStyle name="Normal 141 13 3" xfId="18308"/>
    <cellStyle name="Normal 141 13 4" xfId="23351"/>
    <cellStyle name="Normal 141 13 5" xfId="28312"/>
    <cellStyle name="Normal 141 13 6" xfId="33170"/>
    <cellStyle name="Normal 141 13 7" xfId="37901"/>
    <cellStyle name="Normal 141 14" xfId="4764"/>
    <cellStyle name="Normal 141 14 2" xfId="6115"/>
    <cellStyle name="Normal 141 14 3" xfId="18219"/>
    <cellStyle name="Normal 141 14 4" xfId="23262"/>
    <cellStyle name="Normal 141 14 5" xfId="28223"/>
    <cellStyle name="Normal 141 14 6" xfId="33081"/>
    <cellStyle name="Normal 141 14 7" xfId="37812"/>
    <cellStyle name="Normal 141 15" xfId="4753"/>
    <cellStyle name="Normal 141 15 2" xfId="6249"/>
    <cellStyle name="Normal 141 15 3" xfId="18353"/>
    <cellStyle name="Normal 141 15 4" xfId="23396"/>
    <cellStyle name="Normal 141 15 5" xfId="28357"/>
    <cellStyle name="Normal 141 15 6" xfId="33215"/>
    <cellStyle name="Normal 141 15 7" xfId="37946"/>
    <cellStyle name="Normal 141 16" xfId="5050"/>
    <cellStyle name="Normal 141 16 2" xfId="5988"/>
    <cellStyle name="Normal 141 16 3" xfId="18091"/>
    <cellStyle name="Normal 141 16 4" xfId="23134"/>
    <cellStyle name="Normal 141 16 5" xfId="28095"/>
    <cellStyle name="Normal 141 16 6" xfId="32953"/>
    <cellStyle name="Normal 141 16 7" xfId="37684"/>
    <cellStyle name="Normal 141 17" xfId="5034"/>
    <cellStyle name="Normal 141 17 2" xfId="5973"/>
    <cellStyle name="Normal 141 17 3" xfId="18075"/>
    <cellStyle name="Normal 141 17 4" xfId="23118"/>
    <cellStyle name="Normal 141 17 5" xfId="28079"/>
    <cellStyle name="Normal 141 17 6" xfId="32937"/>
    <cellStyle name="Normal 141 17 7" xfId="37668"/>
    <cellStyle name="Normal 141 18" xfId="4998"/>
    <cellStyle name="Normal 141 18 2" xfId="6748"/>
    <cellStyle name="Normal 141 18 3" xfId="18869"/>
    <cellStyle name="Normal 141 18 4" xfId="23912"/>
    <cellStyle name="Normal 141 18 5" xfId="28873"/>
    <cellStyle name="Normal 141 18 6" xfId="33731"/>
    <cellStyle name="Normal 141 18 7" xfId="38462"/>
    <cellStyle name="Normal 141 19" xfId="5119"/>
    <cellStyle name="Normal 141 19 2" xfId="6733"/>
    <cellStyle name="Normal 141 19 3" xfId="18854"/>
    <cellStyle name="Normal 141 19 4" xfId="23897"/>
    <cellStyle name="Normal 141 19 5" xfId="28858"/>
    <cellStyle name="Normal 141 19 6" xfId="33716"/>
    <cellStyle name="Normal 141 19 7" xfId="38447"/>
    <cellStyle name="Normal 141 2" xfId="4274"/>
    <cellStyle name="Normal 141 2 2" xfId="6142"/>
    <cellStyle name="Normal 141 2 3" xfId="18246"/>
    <cellStyle name="Normal 141 2 4" xfId="23289"/>
    <cellStyle name="Normal 141 2 5" xfId="28250"/>
    <cellStyle name="Normal 141 2 6" xfId="33108"/>
    <cellStyle name="Normal 141 2 7" xfId="37839"/>
    <cellStyle name="Normal 141 20" xfId="5387"/>
    <cellStyle name="Normal 141 20 2" xfId="6685"/>
    <cellStyle name="Normal 141 20 3" xfId="18805"/>
    <cellStyle name="Normal 141 20 4" xfId="23848"/>
    <cellStyle name="Normal 141 20 5" xfId="28809"/>
    <cellStyle name="Normal 141 20 6" xfId="33667"/>
    <cellStyle name="Normal 141 20 7" xfId="38398"/>
    <cellStyle name="Normal 141 21" xfId="5360"/>
    <cellStyle name="Normal 141 21 2" xfId="6673"/>
    <cellStyle name="Normal 141 21 3" xfId="18793"/>
    <cellStyle name="Normal 141 21 4" xfId="23836"/>
    <cellStyle name="Normal 141 21 5" xfId="28797"/>
    <cellStyle name="Normal 141 21 6" xfId="33655"/>
    <cellStyle name="Normal 141 21 7" xfId="38386"/>
    <cellStyle name="Normal 141 22" xfId="5245"/>
    <cellStyle name="Normal 141 22 2" xfId="7127"/>
    <cellStyle name="Normal 141 22 3" xfId="19276"/>
    <cellStyle name="Normal 141 22 4" xfId="24319"/>
    <cellStyle name="Normal 141 22 5" xfId="29280"/>
    <cellStyle name="Normal 141 22 6" xfId="34138"/>
    <cellStyle name="Normal 141 22 7" xfId="38869"/>
    <cellStyle name="Normal 141 23" xfId="5215"/>
    <cellStyle name="Normal 141 23 2" xfId="7081"/>
    <cellStyle name="Normal 141 23 3" xfId="19226"/>
    <cellStyle name="Normal 141 23 4" xfId="24269"/>
    <cellStyle name="Normal 141 23 5" xfId="29230"/>
    <cellStyle name="Normal 141 23 6" xfId="34088"/>
    <cellStyle name="Normal 141 23 7" xfId="38819"/>
    <cellStyle name="Normal 141 24" xfId="5201"/>
    <cellStyle name="Normal 141 24 2" xfId="6948"/>
    <cellStyle name="Normal 141 24 3" xfId="19078"/>
    <cellStyle name="Normal 141 24 4" xfId="24121"/>
    <cellStyle name="Normal 141 24 5" xfId="29082"/>
    <cellStyle name="Normal 141 24 6" xfId="33940"/>
    <cellStyle name="Normal 141 24 7" xfId="38671"/>
    <cellStyle name="Normal 141 25" xfId="5389"/>
    <cellStyle name="Normal 141 25 2" xfId="6911"/>
    <cellStyle name="Normal 141 25 3" xfId="19038"/>
    <cellStyle name="Normal 141 25 4" xfId="24081"/>
    <cellStyle name="Normal 141 25 5" xfId="29042"/>
    <cellStyle name="Normal 141 25 6" xfId="33900"/>
    <cellStyle name="Normal 141 25 7" xfId="38631"/>
    <cellStyle name="Normal 141 26" xfId="5513"/>
    <cellStyle name="Normal 141 26 2" xfId="6905"/>
    <cellStyle name="Normal 141 26 3" xfId="19029"/>
    <cellStyle name="Normal 141 26 4" xfId="24072"/>
    <cellStyle name="Normal 141 26 5" xfId="29033"/>
    <cellStyle name="Normal 141 26 6" xfId="33891"/>
    <cellStyle name="Normal 141 26 7" xfId="38622"/>
    <cellStyle name="Normal 141 27" xfId="5293"/>
    <cellStyle name="Normal 141 27 2" xfId="7133"/>
    <cellStyle name="Normal 141 27 3" xfId="19282"/>
    <cellStyle name="Normal 141 27 4" xfId="24325"/>
    <cellStyle name="Normal 141 27 5" xfId="29286"/>
    <cellStyle name="Normal 141 27 6" xfId="34144"/>
    <cellStyle name="Normal 141 27 7" xfId="38875"/>
    <cellStyle name="Normal 141 28" xfId="5481"/>
    <cellStyle name="Normal 141 28 2" xfId="7261"/>
    <cellStyle name="Normal 141 28 3" xfId="19425"/>
    <cellStyle name="Normal 141 28 4" xfId="24468"/>
    <cellStyle name="Normal 141 28 5" xfId="29429"/>
    <cellStyle name="Normal 141 28 6" xfId="34287"/>
    <cellStyle name="Normal 141 28 7" xfId="39018"/>
    <cellStyle name="Normal 141 29" xfId="5770"/>
    <cellStyle name="Normal 141 29 2" xfId="14295"/>
    <cellStyle name="Normal 141 29 3" xfId="19140"/>
    <cellStyle name="Normal 141 29 4" xfId="24183"/>
    <cellStyle name="Normal 141 29 5" xfId="29144"/>
    <cellStyle name="Normal 141 29 6" xfId="34002"/>
    <cellStyle name="Normal 141 29 7" xfId="38733"/>
    <cellStyle name="Normal 141 3" xfId="4281"/>
    <cellStyle name="Normal 141 3 2" xfId="6082"/>
    <cellStyle name="Normal 141 3 3" xfId="18186"/>
    <cellStyle name="Normal 141 3 4" xfId="23229"/>
    <cellStyle name="Normal 141 3 5" xfId="28190"/>
    <cellStyle name="Normal 141 3 6" xfId="33048"/>
    <cellStyle name="Normal 141 3 7" xfId="37779"/>
    <cellStyle name="Normal 141 30" xfId="7235"/>
    <cellStyle name="Normal 141 30 2" xfId="14404"/>
    <cellStyle name="Normal 141 30 3" xfId="19395"/>
    <cellStyle name="Normal 141 30 4" xfId="24438"/>
    <cellStyle name="Normal 141 30 5" xfId="29399"/>
    <cellStyle name="Normal 141 30 6" xfId="34257"/>
    <cellStyle name="Normal 141 30 7" xfId="38988"/>
    <cellStyle name="Normal 141 31" xfId="7226"/>
    <cellStyle name="Normal 141 31 2" xfId="14398"/>
    <cellStyle name="Normal 141 31 3" xfId="19384"/>
    <cellStyle name="Normal 141 31 4" xfId="24427"/>
    <cellStyle name="Normal 141 31 5" xfId="29388"/>
    <cellStyle name="Normal 141 31 6" xfId="34246"/>
    <cellStyle name="Normal 141 31 7" xfId="38977"/>
    <cellStyle name="Normal 141 32" xfId="6965"/>
    <cellStyle name="Normal 141 32 2" xfId="14268"/>
    <cellStyle name="Normal 141 32 3" xfId="19097"/>
    <cellStyle name="Normal 141 32 4" xfId="24140"/>
    <cellStyle name="Normal 141 32 5" xfId="29101"/>
    <cellStyle name="Normal 141 32 6" xfId="33959"/>
    <cellStyle name="Normal 141 32 7" xfId="38690"/>
    <cellStyle name="Normal 141 33" xfId="7170"/>
    <cellStyle name="Normal 141 33 2" xfId="14382"/>
    <cellStyle name="Normal 141 33 3" xfId="19325"/>
    <cellStyle name="Normal 141 33 4" xfId="24368"/>
    <cellStyle name="Normal 141 33 5" xfId="29329"/>
    <cellStyle name="Normal 141 33 6" xfId="34187"/>
    <cellStyle name="Normal 141 33 7" xfId="38918"/>
    <cellStyle name="Normal 141 34" xfId="7776"/>
    <cellStyle name="Normal 141 34 2" xfId="14856"/>
    <cellStyle name="Normal 141 34 3" xfId="19973"/>
    <cellStyle name="Normal 141 34 4" xfId="25016"/>
    <cellStyle name="Normal 141 34 5" xfId="29977"/>
    <cellStyle name="Normal 141 34 6" xfId="34835"/>
    <cellStyle name="Normal 141 34 7" xfId="39566"/>
    <cellStyle name="Normal 141 35" xfId="7723"/>
    <cellStyle name="Normal 141 35 2" xfId="14803"/>
    <cellStyle name="Normal 141 35 3" xfId="19920"/>
    <cellStyle name="Normal 141 35 4" xfId="24963"/>
    <cellStyle name="Normal 141 35 5" xfId="29924"/>
    <cellStyle name="Normal 141 35 6" xfId="34782"/>
    <cellStyle name="Normal 141 35 7" xfId="39513"/>
    <cellStyle name="Normal 141 36" xfId="7552"/>
    <cellStyle name="Normal 141 36 2" xfId="14630"/>
    <cellStyle name="Normal 141 36 3" xfId="19747"/>
    <cellStyle name="Normal 141 36 4" xfId="24790"/>
    <cellStyle name="Normal 141 36 5" xfId="29751"/>
    <cellStyle name="Normal 141 36 6" xfId="34609"/>
    <cellStyle name="Normal 141 36 7" xfId="39340"/>
    <cellStyle name="Normal 141 37" xfId="7505"/>
    <cellStyle name="Normal 141 37 2" xfId="14582"/>
    <cellStyle name="Normal 141 37 3" xfId="19699"/>
    <cellStyle name="Normal 141 37 4" xfId="24742"/>
    <cellStyle name="Normal 141 37 5" xfId="29703"/>
    <cellStyle name="Normal 141 37 6" xfId="34561"/>
    <cellStyle name="Normal 141 37 7" xfId="39292"/>
    <cellStyle name="Normal 141 38" xfId="7497"/>
    <cellStyle name="Normal 141 38 2" xfId="14573"/>
    <cellStyle name="Normal 141 38 3" xfId="19690"/>
    <cellStyle name="Normal 141 38 4" xfId="24733"/>
    <cellStyle name="Normal 141 38 5" xfId="29694"/>
    <cellStyle name="Normal 141 38 6" xfId="34552"/>
    <cellStyle name="Normal 141 38 7" xfId="39283"/>
    <cellStyle name="Normal 141 39" xfId="7784"/>
    <cellStyle name="Normal 141 39 2" xfId="14864"/>
    <cellStyle name="Normal 141 39 3" xfId="19981"/>
    <cellStyle name="Normal 141 39 4" xfId="25024"/>
    <cellStyle name="Normal 141 39 5" xfId="29985"/>
    <cellStyle name="Normal 141 39 6" xfId="34843"/>
    <cellStyle name="Normal 141 39 7" xfId="39574"/>
    <cellStyle name="Normal 141 4" xfId="4283"/>
    <cellStyle name="Normal 141 4 2" xfId="5893"/>
    <cellStyle name="Normal 141 4 3" xfId="17993"/>
    <cellStyle name="Normal 141 4 4" xfId="23036"/>
    <cellStyle name="Normal 141 4 5" xfId="27997"/>
    <cellStyle name="Normal 141 4 6" xfId="32855"/>
    <cellStyle name="Normal 141 4 7" xfId="37586"/>
    <cellStyle name="Normal 141 40" xfId="7947"/>
    <cellStyle name="Normal 141 40 2" xfId="15027"/>
    <cellStyle name="Normal 141 40 3" xfId="20144"/>
    <cellStyle name="Normal 141 40 4" xfId="25187"/>
    <cellStyle name="Normal 141 40 5" xfId="30148"/>
    <cellStyle name="Normal 141 40 6" xfId="35006"/>
    <cellStyle name="Normal 141 40 7" xfId="39737"/>
    <cellStyle name="Normal 141 41" xfId="7625"/>
    <cellStyle name="Normal 141 41 2" xfId="14705"/>
    <cellStyle name="Normal 141 41 3" xfId="19822"/>
    <cellStyle name="Normal 141 41 4" xfId="24865"/>
    <cellStyle name="Normal 141 41 5" xfId="29826"/>
    <cellStyle name="Normal 141 41 6" xfId="34684"/>
    <cellStyle name="Normal 141 41 7" xfId="39415"/>
    <cellStyle name="Normal 141 42" xfId="7910"/>
    <cellStyle name="Normal 141 42 2" xfId="14990"/>
    <cellStyle name="Normal 141 42 3" xfId="20107"/>
    <cellStyle name="Normal 141 42 4" xfId="25150"/>
    <cellStyle name="Normal 141 42 5" xfId="30111"/>
    <cellStyle name="Normal 141 42 6" xfId="34969"/>
    <cellStyle name="Normal 141 42 7" xfId="39700"/>
    <cellStyle name="Normal 141 43" xfId="7896"/>
    <cellStyle name="Normal 141 43 2" xfId="14976"/>
    <cellStyle name="Normal 141 43 3" xfId="20093"/>
    <cellStyle name="Normal 141 43 4" xfId="25136"/>
    <cellStyle name="Normal 141 43 5" xfId="30097"/>
    <cellStyle name="Normal 141 43 6" xfId="34955"/>
    <cellStyle name="Normal 141 43 7" xfId="39686"/>
    <cellStyle name="Normal 141 44" xfId="7572"/>
    <cellStyle name="Normal 141 44 2" xfId="14652"/>
    <cellStyle name="Normal 141 44 3" xfId="19769"/>
    <cellStyle name="Normal 141 44 4" xfId="24812"/>
    <cellStyle name="Normal 141 44 5" xfId="29773"/>
    <cellStyle name="Normal 141 44 6" xfId="34631"/>
    <cellStyle name="Normal 141 44 7" xfId="39362"/>
    <cellStyle name="Normal 141 45" xfId="7831"/>
    <cellStyle name="Normal 141 45 2" xfId="14911"/>
    <cellStyle name="Normal 141 45 3" xfId="20028"/>
    <cellStyle name="Normal 141 45 4" xfId="25071"/>
    <cellStyle name="Normal 141 45 5" xfId="30032"/>
    <cellStyle name="Normal 141 45 6" xfId="34890"/>
    <cellStyle name="Normal 141 45 7" xfId="39621"/>
    <cellStyle name="Normal 141 46" xfId="7752"/>
    <cellStyle name="Normal 141 46 2" xfId="14832"/>
    <cellStyle name="Normal 141 46 3" xfId="19949"/>
    <cellStyle name="Normal 141 46 4" xfId="24992"/>
    <cellStyle name="Normal 141 46 5" xfId="29953"/>
    <cellStyle name="Normal 141 46 6" xfId="34811"/>
    <cellStyle name="Normal 141 46 7" xfId="39542"/>
    <cellStyle name="Normal 141 47" xfId="7871"/>
    <cellStyle name="Normal 141 47 2" xfId="14951"/>
    <cellStyle name="Normal 141 47 3" xfId="20068"/>
    <cellStyle name="Normal 141 47 4" xfId="25111"/>
    <cellStyle name="Normal 141 47 5" xfId="30072"/>
    <cellStyle name="Normal 141 47 6" xfId="34930"/>
    <cellStyle name="Normal 141 47 7" xfId="39661"/>
    <cellStyle name="Normal 141 48" xfId="8562"/>
    <cellStyle name="Normal 141 48 2" xfId="15643"/>
    <cellStyle name="Normal 141 48 3" xfId="20760"/>
    <cellStyle name="Normal 141 48 4" xfId="25803"/>
    <cellStyle name="Normal 141 48 5" xfId="30764"/>
    <cellStyle name="Normal 141 48 6" xfId="35622"/>
    <cellStyle name="Normal 141 48 7" xfId="40353"/>
    <cellStyle name="Normal 141 49" xfId="8504"/>
    <cellStyle name="Normal 141 49 2" xfId="15585"/>
    <cellStyle name="Normal 141 49 3" xfId="20702"/>
    <cellStyle name="Normal 141 49 4" xfId="25745"/>
    <cellStyle name="Normal 141 49 5" xfId="30706"/>
    <cellStyle name="Normal 141 49 6" xfId="35564"/>
    <cellStyle name="Normal 141 49 7" xfId="40295"/>
    <cellStyle name="Normal 141 5" xfId="4402"/>
    <cellStyle name="Normal 141 5 2" xfId="5841"/>
    <cellStyle name="Normal 141 5 3" xfId="17941"/>
    <cellStyle name="Normal 141 5 4" xfId="22984"/>
    <cellStyle name="Normal 141 5 5" xfId="27945"/>
    <cellStyle name="Normal 141 5 6" xfId="32803"/>
    <cellStyle name="Normal 141 5 7" xfId="37534"/>
    <cellStyle name="Normal 141 50" xfId="8334"/>
    <cellStyle name="Normal 141 50 2" xfId="15415"/>
    <cellStyle name="Normal 141 50 3" xfId="20532"/>
    <cellStyle name="Normal 141 50 4" xfId="25575"/>
    <cellStyle name="Normal 141 50 5" xfId="30536"/>
    <cellStyle name="Normal 141 50 6" xfId="35394"/>
    <cellStyle name="Normal 141 50 7" xfId="40125"/>
    <cellStyle name="Normal 141 51" xfId="8289"/>
    <cellStyle name="Normal 141 51 2" xfId="15370"/>
    <cellStyle name="Normal 141 51 3" xfId="20487"/>
    <cellStyle name="Normal 141 51 4" xfId="25530"/>
    <cellStyle name="Normal 141 51 5" xfId="30491"/>
    <cellStyle name="Normal 141 51 6" xfId="35349"/>
    <cellStyle name="Normal 141 51 7" xfId="40080"/>
    <cellStyle name="Normal 141 52" xfId="8270"/>
    <cellStyle name="Normal 141 52 2" xfId="15351"/>
    <cellStyle name="Normal 141 52 3" xfId="20468"/>
    <cellStyle name="Normal 141 52 4" xfId="25511"/>
    <cellStyle name="Normal 141 52 5" xfId="30472"/>
    <cellStyle name="Normal 141 52 6" xfId="35330"/>
    <cellStyle name="Normal 141 52 7" xfId="40061"/>
    <cellStyle name="Normal 141 53" xfId="8567"/>
    <cellStyle name="Normal 141 53 2" xfId="15648"/>
    <cellStyle name="Normal 141 53 3" xfId="20765"/>
    <cellStyle name="Normal 141 53 4" xfId="25808"/>
    <cellStyle name="Normal 141 53 5" xfId="30769"/>
    <cellStyle name="Normal 141 53 6" xfId="35627"/>
    <cellStyle name="Normal 141 53 7" xfId="40358"/>
    <cellStyle name="Normal 141 54" xfId="8744"/>
    <cellStyle name="Normal 141 54 2" xfId="15825"/>
    <cellStyle name="Normal 141 54 3" xfId="20942"/>
    <cellStyle name="Normal 141 54 4" xfId="25985"/>
    <cellStyle name="Normal 141 54 5" xfId="30946"/>
    <cellStyle name="Normal 141 54 6" xfId="35804"/>
    <cellStyle name="Normal 141 54 7" xfId="40535"/>
    <cellStyle name="Normal 141 55" xfId="8518"/>
    <cellStyle name="Normal 141 55 2" xfId="15599"/>
    <cellStyle name="Normal 141 55 3" xfId="20716"/>
    <cellStyle name="Normal 141 55 4" xfId="25759"/>
    <cellStyle name="Normal 141 55 5" xfId="30720"/>
    <cellStyle name="Normal 141 55 6" xfId="35578"/>
    <cellStyle name="Normal 141 55 7" xfId="40309"/>
    <cellStyle name="Normal 141 56" xfId="8406"/>
    <cellStyle name="Normal 141 56 2" xfId="15487"/>
    <cellStyle name="Normal 141 56 3" xfId="20604"/>
    <cellStyle name="Normal 141 56 4" xfId="25647"/>
    <cellStyle name="Normal 141 56 5" xfId="30608"/>
    <cellStyle name="Normal 141 56 6" xfId="35466"/>
    <cellStyle name="Normal 141 56 7" xfId="40197"/>
    <cellStyle name="Normal 141 57" xfId="8290"/>
    <cellStyle name="Normal 141 57 2" xfId="15371"/>
    <cellStyle name="Normal 141 57 3" xfId="20488"/>
    <cellStyle name="Normal 141 57 4" xfId="25531"/>
    <cellStyle name="Normal 141 57 5" xfId="30492"/>
    <cellStyle name="Normal 141 57 6" xfId="35350"/>
    <cellStyle name="Normal 141 57 7" xfId="40081"/>
    <cellStyle name="Normal 141 58" xfId="8322"/>
    <cellStyle name="Normal 141 58 2" xfId="15403"/>
    <cellStyle name="Normal 141 58 3" xfId="20520"/>
    <cellStyle name="Normal 141 58 4" xfId="25563"/>
    <cellStyle name="Normal 141 58 5" xfId="30524"/>
    <cellStyle name="Normal 141 58 6" xfId="35382"/>
    <cellStyle name="Normal 141 58 7" xfId="40113"/>
    <cellStyle name="Normal 141 59" xfId="8956"/>
    <cellStyle name="Normal 141 59 2" xfId="16037"/>
    <cellStyle name="Normal 141 59 3" xfId="21154"/>
    <cellStyle name="Normal 141 59 4" xfId="26197"/>
    <cellStyle name="Normal 141 59 5" xfId="31158"/>
    <cellStyle name="Normal 141 59 6" xfId="36016"/>
    <cellStyle name="Normal 141 59 7" xfId="40747"/>
    <cellStyle name="Normal 141 6" xfId="4458"/>
    <cellStyle name="Normal 141 6 2" xfId="5831"/>
    <cellStyle name="Normal 141 6 3" xfId="17930"/>
    <cellStyle name="Normal 141 6 4" xfId="22973"/>
    <cellStyle name="Normal 141 6 5" xfId="27934"/>
    <cellStyle name="Normal 141 6 6" xfId="32792"/>
    <cellStyle name="Normal 141 6 7" xfId="37523"/>
    <cellStyle name="Normal 141 60" xfId="8390"/>
    <cellStyle name="Normal 141 60 2" xfId="15471"/>
    <cellStyle name="Normal 141 60 3" xfId="20588"/>
    <cellStyle name="Normal 141 60 4" xfId="25631"/>
    <cellStyle name="Normal 141 60 5" xfId="30592"/>
    <cellStyle name="Normal 141 60 6" xfId="35450"/>
    <cellStyle name="Normal 141 60 7" xfId="40181"/>
    <cellStyle name="Normal 141 61" xfId="8531"/>
    <cellStyle name="Normal 141 61 2" xfId="15612"/>
    <cellStyle name="Normal 141 61 3" xfId="20729"/>
    <cellStyle name="Normal 141 61 4" xfId="25772"/>
    <cellStyle name="Normal 141 61 5" xfId="30733"/>
    <cellStyle name="Normal 141 61 6" xfId="35591"/>
    <cellStyle name="Normal 141 61 7" xfId="40322"/>
    <cellStyle name="Normal 141 62" xfId="8455"/>
    <cellStyle name="Normal 141 62 2" xfId="15536"/>
    <cellStyle name="Normal 141 62 3" xfId="20653"/>
    <cellStyle name="Normal 141 62 4" xfId="25696"/>
    <cellStyle name="Normal 141 62 5" xfId="30657"/>
    <cellStyle name="Normal 141 62 6" xfId="35515"/>
    <cellStyle name="Normal 141 62 7" xfId="40246"/>
    <cellStyle name="Normal 141 63" xfId="9336"/>
    <cellStyle name="Normal 141 63 2" xfId="16417"/>
    <cellStyle name="Normal 141 63 3" xfId="21534"/>
    <cellStyle name="Normal 141 63 4" xfId="26577"/>
    <cellStyle name="Normal 141 63 5" xfId="31538"/>
    <cellStyle name="Normal 141 63 6" xfId="36396"/>
    <cellStyle name="Normal 141 63 7" xfId="41127"/>
    <cellStyle name="Normal 141 64" xfId="9286"/>
    <cellStyle name="Normal 141 64 2" xfId="16367"/>
    <cellStyle name="Normal 141 64 3" xfId="21484"/>
    <cellStyle name="Normal 141 64 4" xfId="26527"/>
    <cellStyle name="Normal 141 64 5" xfId="31488"/>
    <cellStyle name="Normal 141 64 6" xfId="36346"/>
    <cellStyle name="Normal 141 64 7" xfId="41077"/>
    <cellStyle name="Normal 141 65" xfId="9138"/>
    <cellStyle name="Normal 141 65 2" xfId="16219"/>
    <cellStyle name="Normal 141 65 3" xfId="21336"/>
    <cellStyle name="Normal 141 65 4" xfId="26379"/>
    <cellStyle name="Normal 141 65 5" xfId="31340"/>
    <cellStyle name="Normal 141 65 6" xfId="36198"/>
    <cellStyle name="Normal 141 65 7" xfId="40929"/>
    <cellStyle name="Normal 141 66" xfId="9098"/>
    <cellStyle name="Normal 141 66 2" xfId="16179"/>
    <cellStyle name="Normal 141 66 3" xfId="21296"/>
    <cellStyle name="Normal 141 66 4" xfId="26339"/>
    <cellStyle name="Normal 141 66 5" xfId="31300"/>
    <cellStyle name="Normal 141 66 6" xfId="36158"/>
    <cellStyle name="Normal 141 66 7" xfId="40889"/>
    <cellStyle name="Normal 141 67" xfId="9089"/>
    <cellStyle name="Normal 141 67 2" xfId="16170"/>
    <cellStyle name="Normal 141 67 3" xfId="21287"/>
    <cellStyle name="Normal 141 67 4" xfId="26330"/>
    <cellStyle name="Normal 141 67 5" xfId="31291"/>
    <cellStyle name="Normal 141 67 6" xfId="36149"/>
    <cellStyle name="Normal 141 67 7" xfId="40880"/>
    <cellStyle name="Normal 141 68" xfId="9342"/>
    <cellStyle name="Normal 141 68 2" xfId="16423"/>
    <cellStyle name="Normal 141 68 3" xfId="21540"/>
    <cellStyle name="Normal 141 68 4" xfId="26583"/>
    <cellStyle name="Normal 141 68 5" xfId="31544"/>
    <cellStyle name="Normal 141 68 6" xfId="36402"/>
    <cellStyle name="Normal 141 68 7" xfId="41133"/>
    <cellStyle name="Normal 141 69" xfId="9485"/>
    <cellStyle name="Normal 141 69 2" xfId="16566"/>
    <cellStyle name="Normal 141 69 3" xfId="21683"/>
    <cellStyle name="Normal 141 69 4" xfId="26726"/>
    <cellStyle name="Normal 141 69 5" xfId="31687"/>
    <cellStyle name="Normal 141 69 6" xfId="36545"/>
    <cellStyle name="Normal 141 69 7" xfId="41276"/>
    <cellStyle name="Normal 141 7" xfId="4556"/>
    <cellStyle name="Normal 141 7 2" xfId="6151"/>
    <cellStyle name="Normal 141 7 3" xfId="18255"/>
    <cellStyle name="Normal 141 7 4" xfId="23298"/>
    <cellStyle name="Normal 141 7 5" xfId="28259"/>
    <cellStyle name="Normal 141 7 6" xfId="33117"/>
    <cellStyle name="Normal 141 7 7" xfId="37848"/>
    <cellStyle name="Normal 141 70" xfId="9200"/>
    <cellStyle name="Normal 141 70 2" xfId="16281"/>
    <cellStyle name="Normal 141 70 3" xfId="21398"/>
    <cellStyle name="Normal 141 70 4" xfId="26441"/>
    <cellStyle name="Normal 141 70 5" xfId="31402"/>
    <cellStyle name="Normal 141 70 6" xfId="36260"/>
    <cellStyle name="Normal 141 70 7" xfId="40991"/>
    <cellStyle name="Normal 141 71" xfId="9455"/>
    <cellStyle name="Normal 141 71 2" xfId="16536"/>
    <cellStyle name="Normal 141 71 3" xfId="21653"/>
    <cellStyle name="Normal 141 71 4" xfId="26696"/>
    <cellStyle name="Normal 141 71 5" xfId="31657"/>
    <cellStyle name="Normal 141 71 6" xfId="36515"/>
    <cellStyle name="Normal 141 71 7" xfId="41246"/>
    <cellStyle name="Normal 141 72" xfId="9444"/>
    <cellStyle name="Normal 141 72 2" xfId="16525"/>
    <cellStyle name="Normal 141 72 3" xfId="21642"/>
    <cellStyle name="Normal 141 72 4" xfId="26685"/>
    <cellStyle name="Normal 141 72 5" xfId="31646"/>
    <cellStyle name="Normal 141 72 6" xfId="36504"/>
    <cellStyle name="Normal 141 72 7" xfId="41235"/>
    <cellStyle name="Normal 141 73" xfId="9157"/>
    <cellStyle name="Normal 141 73 2" xfId="16238"/>
    <cellStyle name="Normal 141 73 3" xfId="21355"/>
    <cellStyle name="Normal 141 73 4" xfId="26398"/>
    <cellStyle name="Normal 141 73 5" xfId="31359"/>
    <cellStyle name="Normal 141 73 6" xfId="36217"/>
    <cellStyle name="Normal 141 73 7" xfId="40948"/>
    <cellStyle name="Normal 141 74" xfId="9385"/>
    <cellStyle name="Normal 141 74 2" xfId="16466"/>
    <cellStyle name="Normal 141 74 3" xfId="21583"/>
    <cellStyle name="Normal 141 74 4" xfId="26626"/>
    <cellStyle name="Normal 141 74 5" xfId="31587"/>
    <cellStyle name="Normal 141 74 6" xfId="36445"/>
    <cellStyle name="Normal 141 74 7" xfId="41176"/>
    <cellStyle name="Normal 141 75" xfId="9855"/>
    <cellStyle name="Normal 141 75 2" xfId="16936"/>
    <cellStyle name="Normal 141 75 3" xfId="22053"/>
    <cellStyle name="Normal 141 75 4" xfId="27096"/>
    <cellStyle name="Normal 141 75 5" xfId="32057"/>
    <cellStyle name="Normal 141 75 6" xfId="36915"/>
    <cellStyle name="Normal 141 75 7" xfId="41646"/>
    <cellStyle name="Normal 141 76" xfId="9832"/>
    <cellStyle name="Normal 141 76 2" xfId="16913"/>
    <cellStyle name="Normal 141 76 3" xfId="22030"/>
    <cellStyle name="Normal 141 76 4" xfId="27073"/>
    <cellStyle name="Normal 141 76 5" xfId="32034"/>
    <cellStyle name="Normal 141 76 6" xfId="36892"/>
    <cellStyle name="Normal 141 76 7" xfId="41623"/>
    <cellStyle name="Normal 141 77" xfId="9759"/>
    <cellStyle name="Normal 141 77 2" xfId="16840"/>
    <cellStyle name="Normal 141 77 3" xfId="21957"/>
    <cellStyle name="Normal 141 77 4" xfId="27000"/>
    <cellStyle name="Normal 141 77 5" xfId="31961"/>
    <cellStyle name="Normal 141 77 6" xfId="36819"/>
    <cellStyle name="Normal 141 77 7" xfId="41550"/>
    <cellStyle name="Normal 141 78" xfId="9739"/>
    <cellStyle name="Normal 141 78 2" xfId="16820"/>
    <cellStyle name="Normal 141 78 3" xfId="21937"/>
    <cellStyle name="Normal 141 78 4" xfId="26980"/>
    <cellStyle name="Normal 141 78 5" xfId="31941"/>
    <cellStyle name="Normal 141 78 6" xfId="36799"/>
    <cellStyle name="Normal 141 78 7" xfId="41530"/>
    <cellStyle name="Normal 141 79" xfId="9733"/>
    <cellStyle name="Normal 141 79 2" xfId="16814"/>
    <cellStyle name="Normal 141 79 3" xfId="21931"/>
    <cellStyle name="Normal 141 79 4" xfId="26974"/>
    <cellStyle name="Normal 141 79 5" xfId="31935"/>
    <cellStyle name="Normal 141 79 6" xfId="36793"/>
    <cellStyle name="Normal 141 79 7" xfId="41524"/>
    <cellStyle name="Normal 141 8" xfId="4547"/>
    <cellStyle name="Normal 141 8 2" xfId="6335"/>
    <cellStyle name="Normal 141 8 3" xfId="18443"/>
    <cellStyle name="Normal 141 8 4" xfId="23486"/>
    <cellStyle name="Normal 141 8 5" xfId="28447"/>
    <cellStyle name="Normal 141 8 6" xfId="33305"/>
    <cellStyle name="Normal 141 8 7" xfId="38036"/>
    <cellStyle name="Normal 141 80" xfId="9857"/>
    <cellStyle name="Normal 141 80 2" xfId="16938"/>
    <cellStyle name="Normal 141 80 3" xfId="22055"/>
    <cellStyle name="Normal 141 80 4" xfId="27098"/>
    <cellStyle name="Normal 141 80 5" xfId="32059"/>
    <cellStyle name="Normal 141 80 6" xfId="36917"/>
    <cellStyle name="Normal 141 80 7" xfId="41648"/>
    <cellStyle name="Normal 141 81" xfId="10185"/>
    <cellStyle name="Normal 141 81 2" xfId="17266"/>
    <cellStyle name="Normal 141 81 3" xfId="22383"/>
    <cellStyle name="Normal 141 81 4" xfId="27426"/>
    <cellStyle name="Normal 141 81 5" xfId="32387"/>
    <cellStyle name="Normal 141 81 6" xfId="37245"/>
    <cellStyle name="Normal 141 81 7" xfId="41976"/>
    <cellStyle name="Normal 141 82" xfId="10162"/>
    <cellStyle name="Normal 141 82 2" xfId="17243"/>
    <cellStyle name="Normal 141 82 3" xfId="22360"/>
    <cellStyle name="Normal 141 82 4" xfId="27403"/>
    <cellStyle name="Normal 141 82 5" xfId="32364"/>
    <cellStyle name="Normal 141 82 6" xfId="37222"/>
    <cellStyle name="Normal 141 82 7" xfId="41953"/>
    <cellStyle name="Normal 141 83" xfId="10089"/>
    <cellStyle name="Normal 141 83 2" xfId="17170"/>
    <cellStyle name="Normal 141 83 3" xfId="22287"/>
    <cellStyle name="Normal 141 83 4" xfId="27330"/>
    <cellStyle name="Normal 141 83 5" xfId="32291"/>
    <cellStyle name="Normal 141 83 6" xfId="37149"/>
    <cellStyle name="Normal 141 83 7" xfId="41880"/>
    <cellStyle name="Normal 141 84" xfId="10069"/>
    <cellStyle name="Normal 141 84 2" xfId="17150"/>
    <cellStyle name="Normal 141 84 3" xfId="22267"/>
    <cellStyle name="Normal 141 84 4" xfId="27310"/>
    <cellStyle name="Normal 141 84 5" xfId="32271"/>
    <cellStyle name="Normal 141 84 6" xfId="37129"/>
    <cellStyle name="Normal 141 84 7" xfId="41860"/>
    <cellStyle name="Normal 141 85" xfId="10063"/>
    <cellStyle name="Normal 141 85 2" xfId="17144"/>
    <cellStyle name="Normal 141 85 3" xfId="22261"/>
    <cellStyle name="Normal 141 85 4" xfId="27304"/>
    <cellStyle name="Normal 141 85 5" xfId="32265"/>
    <cellStyle name="Normal 141 85 6" xfId="37123"/>
    <cellStyle name="Normal 141 85 7" xfId="41854"/>
    <cellStyle name="Normal 141 86" xfId="10187"/>
    <cellStyle name="Normal 141 86 2" xfId="17268"/>
    <cellStyle name="Normal 141 86 3" xfId="22385"/>
    <cellStyle name="Normal 141 86 4" xfId="27428"/>
    <cellStyle name="Normal 141 86 5" xfId="32389"/>
    <cellStyle name="Normal 141 86 6" xfId="37247"/>
    <cellStyle name="Normal 141 86 7" xfId="41978"/>
    <cellStyle name="Normal 141 87" xfId="12737"/>
    <cellStyle name="Normal 141 88" xfId="12971"/>
    <cellStyle name="Normal 141 89" xfId="12604"/>
    <cellStyle name="Normal 141 9" xfId="4619"/>
    <cellStyle name="Normal 141 9 2" xfId="5974"/>
    <cellStyle name="Normal 141 9 3" xfId="18076"/>
    <cellStyle name="Normal 141 9 4" xfId="23119"/>
    <cellStyle name="Normal 141 9 5" xfId="28080"/>
    <cellStyle name="Normal 141 9 6" xfId="32938"/>
    <cellStyle name="Normal 141 9 7" xfId="37669"/>
    <cellStyle name="Normal 141 90" xfId="13545"/>
    <cellStyle name="Normal 141 91" xfId="12548"/>
    <cellStyle name="Normal 141 92" xfId="12982"/>
    <cellStyle name="Normal 142" xfId="2202"/>
    <cellStyle name="Normal 142 10" xfId="4685"/>
    <cellStyle name="Normal 142 10 2" xfId="6305"/>
    <cellStyle name="Normal 142 10 3" xfId="18413"/>
    <cellStyle name="Normal 142 10 4" xfId="23456"/>
    <cellStyle name="Normal 142 10 5" xfId="28417"/>
    <cellStyle name="Normal 142 10 6" xfId="33275"/>
    <cellStyle name="Normal 142 10 7" xfId="38006"/>
    <cellStyle name="Normal 142 11" xfId="4721"/>
    <cellStyle name="Normal 142 11 2" xfId="6385"/>
    <cellStyle name="Normal 142 11 3" xfId="18495"/>
    <cellStyle name="Normal 142 11 4" xfId="23538"/>
    <cellStyle name="Normal 142 11 5" xfId="28499"/>
    <cellStyle name="Normal 142 11 6" xfId="33357"/>
    <cellStyle name="Normal 142 11 7" xfId="38088"/>
    <cellStyle name="Normal 142 12" xfId="4836"/>
    <cellStyle name="Normal 142 12 2" xfId="6351"/>
    <cellStyle name="Normal 142 12 3" xfId="18459"/>
    <cellStyle name="Normal 142 12 4" xfId="23502"/>
    <cellStyle name="Normal 142 12 5" xfId="28463"/>
    <cellStyle name="Normal 142 12 6" xfId="33321"/>
    <cellStyle name="Normal 142 12 7" xfId="38052"/>
    <cellStyle name="Normal 142 13" xfId="4922"/>
    <cellStyle name="Normal 142 13 2" xfId="6364"/>
    <cellStyle name="Normal 142 13 3" xfId="18473"/>
    <cellStyle name="Normal 142 13 4" xfId="23516"/>
    <cellStyle name="Normal 142 13 5" xfId="28477"/>
    <cellStyle name="Normal 142 13 6" xfId="33335"/>
    <cellStyle name="Normal 142 13 7" xfId="38066"/>
    <cellStyle name="Normal 142 14" xfId="4775"/>
    <cellStyle name="Normal 142 14 2" xfId="6439"/>
    <cellStyle name="Normal 142 14 3" xfId="18549"/>
    <cellStyle name="Normal 142 14 4" xfId="23592"/>
    <cellStyle name="Normal 142 14 5" xfId="28553"/>
    <cellStyle name="Normal 142 14 6" xfId="33411"/>
    <cellStyle name="Normal 142 14 7" xfId="38142"/>
    <cellStyle name="Normal 142 15" xfId="4742"/>
    <cellStyle name="Normal 142 15 2" xfId="6493"/>
    <cellStyle name="Normal 142 15 3" xfId="18611"/>
    <cellStyle name="Normal 142 15 4" xfId="23654"/>
    <cellStyle name="Normal 142 15 5" xfId="28615"/>
    <cellStyle name="Normal 142 15 6" xfId="33473"/>
    <cellStyle name="Normal 142 15 7" xfId="38204"/>
    <cellStyle name="Normal 142 16" xfId="5055"/>
    <cellStyle name="Normal 142 16 2" xfId="6509"/>
    <cellStyle name="Normal 142 16 3" xfId="18627"/>
    <cellStyle name="Normal 142 16 4" xfId="23670"/>
    <cellStyle name="Normal 142 16 5" xfId="28631"/>
    <cellStyle name="Normal 142 16 6" xfId="33489"/>
    <cellStyle name="Normal 142 16 7" xfId="38220"/>
    <cellStyle name="Normal 142 17" xfId="5140"/>
    <cellStyle name="Normal 142 17 2" xfId="6524"/>
    <cellStyle name="Normal 142 17 3" xfId="18642"/>
    <cellStyle name="Normal 142 17 4" xfId="23685"/>
    <cellStyle name="Normal 142 17 5" xfId="28646"/>
    <cellStyle name="Normal 142 17 6" xfId="33504"/>
    <cellStyle name="Normal 142 17 7" xfId="38235"/>
    <cellStyle name="Normal 142 18" xfId="5025"/>
    <cellStyle name="Normal 142 18 2" xfId="6753"/>
    <cellStyle name="Normal 142 18 3" xfId="18874"/>
    <cellStyle name="Normal 142 18 4" xfId="23917"/>
    <cellStyle name="Normal 142 18 5" xfId="28878"/>
    <cellStyle name="Normal 142 18 6" xfId="33736"/>
    <cellStyle name="Normal 142 18 7" xfId="38467"/>
    <cellStyle name="Normal 142 19" xfId="4968"/>
    <cellStyle name="Normal 142 19 2" xfId="6838"/>
    <cellStyle name="Normal 142 19 3" xfId="18959"/>
    <cellStyle name="Normal 142 19 4" xfId="24002"/>
    <cellStyle name="Normal 142 19 5" xfId="28963"/>
    <cellStyle name="Normal 142 19 6" xfId="33821"/>
    <cellStyle name="Normal 142 19 7" xfId="38552"/>
    <cellStyle name="Normal 142 2" xfId="4279"/>
    <cellStyle name="Normal 142 2 2" xfId="6165"/>
    <cellStyle name="Normal 142 2 3" xfId="18269"/>
    <cellStyle name="Normal 142 2 4" xfId="23312"/>
    <cellStyle name="Normal 142 2 5" xfId="28273"/>
    <cellStyle name="Normal 142 2 6" xfId="33131"/>
    <cellStyle name="Normal 142 2 7" xfId="37862"/>
    <cellStyle name="Normal 142 20" xfId="5397"/>
    <cellStyle name="Normal 142 20 2" xfId="6694"/>
    <cellStyle name="Normal 142 20 3" xfId="18815"/>
    <cellStyle name="Normal 142 20 4" xfId="23858"/>
    <cellStyle name="Normal 142 20 5" xfId="28819"/>
    <cellStyle name="Normal 142 20 6" xfId="33677"/>
    <cellStyle name="Normal 142 20 7" xfId="38408"/>
    <cellStyle name="Normal 142 21" xfId="5591"/>
    <cellStyle name="Normal 142 21 2" xfId="6666"/>
    <cellStyle name="Normal 142 21 3" xfId="18786"/>
    <cellStyle name="Normal 142 21 4" xfId="23829"/>
    <cellStyle name="Normal 142 21 5" xfId="28790"/>
    <cellStyle name="Normal 142 21 6" xfId="33648"/>
    <cellStyle name="Normal 142 21 7" xfId="38379"/>
    <cellStyle name="Normal 142 22" xfId="5266"/>
    <cellStyle name="Normal 142 22 2" xfId="7141"/>
    <cellStyle name="Normal 142 22 3" xfId="19293"/>
    <cellStyle name="Normal 142 22 4" xfId="24336"/>
    <cellStyle name="Normal 142 22 5" xfId="29297"/>
    <cellStyle name="Normal 142 22 6" xfId="34155"/>
    <cellStyle name="Normal 142 22 7" xfId="38886"/>
    <cellStyle name="Normal 142 23" xfId="5186"/>
    <cellStyle name="Normal 142 23 2" xfId="7354"/>
    <cellStyle name="Normal 142 23 3" xfId="19527"/>
    <cellStyle name="Normal 142 23 4" xfId="24570"/>
    <cellStyle name="Normal 142 23 5" xfId="29531"/>
    <cellStyle name="Normal 142 23 6" xfId="34389"/>
    <cellStyle name="Normal 142 23 7" xfId="39120"/>
    <cellStyle name="Normal 142 24" xfId="5235"/>
    <cellStyle name="Normal 142 24 2" xfId="6976"/>
    <cellStyle name="Normal 142 24 3" xfId="19109"/>
    <cellStyle name="Normal 142 24 4" xfId="24152"/>
    <cellStyle name="Normal 142 24 5" xfId="29113"/>
    <cellStyle name="Normal 142 24 6" xfId="33971"/>
    <cellStyle name="Normal 142 24 7" xfId="38702"/>
    <cellStyle name="Normal 142 25" xfId="5213"/>
    <cellStyle name="Normal 142 25 2" xfId="6899"/>
    <cellStyle name="Normal 142 25 3" xfId="19023"/>
    <cellStyle name="Normal 142 25 4" xfId="24066"/>
    <cellStyle name="Normal 142 25 5" xfId="29027"/>
    <cellStyle name="Normal 142 25 6" xfId="33885"/>
    <cellStyle name="Normal 142 25 7" xfId="38616"/>
    <cellStyle name="Normal 142 26" xfId="5202"/>
    <cellStyle name="Normal 142 26 2" xfId="7319"/>
    <cellStyle name="Normal 142 26 3" xfId="19490"/>
    <cellStyle name="Normal 142 26 4" xfId="24533"/>
    <cellStyle name="Normal 142 26 5" xfId="29494"/>
    <cellStyle name="Normal 142 26 6" xfId="34352"/>
    <cellStyle name="Normal 142 26 7" xfId="39083"/>
    <cellStyle name="Normal 142 27" xfId="5592"/>
    <cellStyle name="Normal 142 27 2" xfId="7001"/>
    <cellStyle name="Normal 142 27 3" xfId="19139"/>
    <cellStyle name="Normal 142 27 4" xfId="24182"/>
    <cellStyle name="Normal 142 27 5" xfId="29143"/>
    <cellStyle name="Normal 142 27 6" xfId="34001"/>
    <cellStyle name="Normal 142 27 7" xfId="38732"/>
    <cellStyle name="Normal 142 28" xfId="5286"/>
    <cellStyle name="Normal 142 28 2" xfId="7271"/>
    <cellStyle name="Normal 142 28 3" xfId="19435"/>
    <cellStyle name="Normal 142 28 4" xfId="24478"/>
    <cellStyle name="Normal 142 28 5" xfId="29439"/>
    <cellStyle name="Normal 142 28 6" xfId="34297"/>
    <cellStyle name="Normal 142 28 7" xfId="39028"/>
    <cellStyle name="Normal 142 29" xfId="5771"/>
    <cellStyle name="Normal 142 29 2" xfId="14357"/>
    <cellStyle name="Normal 142 29 3" xfId="19272"/>
    <cellStyle name="Normal 142 29 4" xfId="24315"/>
    <cellStyle name="Normal 142 29 5" xfId="29276"/>
    <cellStyle name="Normal 142 29 6" xfId="34134"/>
    <cellStyle name="Normal 142 29 7" xfId="38865"/>
    <cellStyle name="Normal 142 3" xfId="4346"/>
    <cellStyle name="Normal 142 3 2" xfId="6477"/>
    <cellStyle name="Normal 142 3 3" xfId="18587"/>
    <cellStyle name="Normal 142 3 4" xfId="23630"/>
    <cellStyle name="Normal 142 3 5" xfId="28591"/>
    <cellStyle name="Normal 142 3 6" xfId="33449"/>
    <cellStyle name="Normal 142 3 7" xfId="38180"/>
    <cellStyle name="Normal 142 30" xfId="7243"/>
    <cellStyle name="Normal 142 30 2" xfId="14411"/>
    <cellStyle name="Normal 142 30 3" xfId="19405"/>
    <cellStyle name="Normal 142 30 4" xfId="24448"/>
    <cellStyle name="Normal 142 30 5" xfId="29409"/>
    <cellStyle name="Normal 142 30 6" xfId="34267"/>
    <cellStyle name="Normal 142 30 7" xfId="38998"/>
    <cellStyle name="Normal 142 31" xfId="7294"/>
    <cellStyle name="Normal 142 31 2" xfId="14438"/>
    <cellStyle name="Normal 142 31 3" xfId="19461"/>
    <cellStyle name="Normal 142 31 4" xfId="24504"/>
    <cellStyle name="Normal 142 31 5" xfId="29465"/>
    <cellStyle name="Normal 142 31 6" xfId="34323"/>
    <cellStyle name="Normal 142 31 7" xfId="39054"/>
    <cellStyle name="Normal 142 32" xfId="7272"/>
    <cellStyle name="Normal 142 32 2" xfId="14422"/>
    <cellStyle name="Normal 142 32 3" xfId="19436"/>
    <cellStyle name="Normal 142 32 4" xfId="24479"/>
    <cellStyle name="Normal 142 32 5" xfId="29440"/>
    <cellStyle name="Normal 142 32 6" xfId="34298"/>
    <cellStyle name="Normal 142 32 7" xfId="39029"/>
    <cellStyle name="Normal 142 33" xfId="7279"/>
    <cellStyle name="Normal 142 33 2" xfId="14428"/>
    <cellStyle name="Normal 142 33 3" xfId="19446"/>
    <cellStyle name="Normal 142 33 4" xfId="24489"/>
    <cellStyle name="Normal 142 33 5" xfId="29450"/>
    <cellStyle name="Normal 142 33 6" xfId="34308"/>
    <cellStyle name="Normal 142 33 7" xfId="39039"/>
    <cellStyle name="Normal 142 34" xfId="7795"/>
    <cellStyle name="Normal 142 34 2" xfId="14875"/>
    <cellStyle name="Normal 142 34 3" xfId="19992"/>
    <cellStyle name="Normal 142 34 4" xfId="25035"/>
    <cellStyle name="Normal 142 34 5" xfId="29996"/>
    <cellStyle name="Normal 142 34 6" xfId="34854"/>
    <cellStyle name="Normal 142 34 7" xfId="39585"/>
    <cellStyle name="Normal 142 35" xfId="8076"/>
    <cellStyle name="Normal 142 35 2" xfId="15156"/>
    <cellStyle name="Normal 142 35 3" xfId="20273"/>
    <cellStyle name="Normal 142 35 4" xfId="25316"/>
    <cellStyle name="Normal 142 35 5" xfId="30277"/>
    <cellStyle name="Normal 142 35 6" xfId="35135"/>
    <cellStyle name="Normal 142 35 7" xfId="39866"/>
    <cellStyle name="Normal 142 36" xfId="7589"/>
    <cellStyle name="Normal 142 36 2" xfId="14669"/>
    <cellStyle name="Normal 142 36 3" xfId="19786"/>
    <cellStyle name="Normal 142 36 4" xfId="24829"/>
    <cellStyle name="Normal 142 36 5" xfId="29790"/>
    <cellStyle name="Normal 142 36 6" xfId="34648"/>
    <cellStyle name="Normal 142 36 7" xfId="39379"/>
    <cellStyle name="Normal 142 37" xfId="7491"/>
    <cellStyle name="Normal 142 37 2" xfId="14567"/>
    <cellStyle name="Normal 142 37 3" xfId="19684"/>
    <cellStyle name="Normal 142 37 4" xfId="24727"/>
    <cellStyle name="Normal 142 37 5" xfId="29688"/>
    <cellStyle name="Normal 142 37 6" xfId="34546"/>
    <cellStyle name="Normal 142 37 7" xfId="39277"/>
    <cellStyle name="Normal 142 38" xfId="8029"/>
    <cellStyle name="Normal 142 38 2" xfId="15109"/>
    <cellStyle name="Normal 142 38 3" xfId="20226"/>
    <cellStyle name="Normal 142 38 4" xfId="25269"/>
    <cellStyle name="Normal 142 38 5" xfId="30230"/>
    <cellStyle name="Normal 142 38 6" xfId="35088"/>
    <cellStyle name="Normal 142 38 7" xfId="39819"/>
    <cellStyle name="Normal 142 39" xfId="7624"/>
    <cellStyle name="Normal 142 39 2" xfId="14704"/>
    <cellStyle name="Normal 142 39 3" xfId="19821"/>
    <cellStyle name="Normal 142 39 4" xfId="24864"/>
    <cellStyle name="Normal 142 39 5" xfId="29825"/>
    <cellStyle name="Normal 142 39 6" xfId="34683"/>
    <cellStyle name="Normal 142 39 7" xfId="39414"/>
    <cellStyle name="Normal 142 4" xfId="4342"/>
    <cellStyle name="Normal 142 4 2" xfId="5932"/>
    <cellStyle name="Normal 142 4 3" xfId="18034"/>
    <cellStyle name="Normal 142 4 4" xfId="23077"/>
    <cellStyle name="Normal 142 4 5" xfId="28038"/>
    <cellStyle name="Normal 142 4 6" xfId="32896"/>
    <cellStyle name="Normal 142 4 7" xfId="37627"/>
    <cellStyle name="Normal 142 40" xfId="7960"/>
    <cellStyle name="Normal 142 40 2" xfId="15040"/>
    <cellStyle name="Normal 142 40 3" xfId="20157"/>
    <cellStyle name="Normal 142 40 4" xfId="25200"/>
    <cellStyle name="Normal 142 40 5" xfId="30161"/>
    <cellStyle name="Normal 142 40 6" xfId="35019"/>
    <cellStyle name="Normal 142 40 7" xfId="39750"/>
    <cellStyle name="Normal 142 41" xfId="7772"/>
    <cellStyle name="Normal 142 41 2" xfId="14852"/>
    <cellStyle name="Normal 142 41 3" xfId="19969"/>
    <cellStyle name="Normal 142 41 4" xfId="25012"/>
    <cellStyle name="Normal 142 41 5" xfId="29973"/>
    <cellStyle name="Normal 142 41 6" xfId="34831"/>
    <cellStyle name="Normal 142 41 7" xfId="39562"/>
    <cellStyle name="Normal 142 42" xfId="7923"/>
    <cellStyle name="Normal 142 42 2" xfId="15003"/>
    <cellStyle name="Normal 142 42 3" xfId="20120"/>
    <cellStyle name="Normal 142 42 4" xfId="25163"/>
    <cellStyle name="Normal 142 42 5" xfId="30124"/>
    <cellStyle name="Normal 142 42 6" xfId="34982"/>
    <cellStyle name="Normal 142 42 7" xfId="39713"/>
    <cellStyle name="Normal 142 43" xfId="7994"/>
    <cellStyle name="Normal 142 43 2" xfId="15074"/>
    <cellStyle name="Normal 142 43 3" xfId="20191"/>
    <cellStyle name="Normal 142 43 4" xfId="25234"/>
    <cellStyle name="Normal 142 43 5" xfId="30195"/>
    <cellStyle name="Normal 142 43 6" xfId="35053"/>
    <cellStyle name="Normal 142 43 7" xfId="39784"/>
    <cellStyle name="Normal 142 44" xfId="7961"/>
    <cellStyle name="Normal 142 44 2" xfId="15041"/>
    <cellStyle name="Normal 142 44 3" xfId="20158"/>
    <cellStyle name="Normal 142 44 4" xfId="25201"/>
    <cellStyle name="Normal 142 44 5" xfId="30162"/>
    <cellStyle name="Normal 142 44 6" xfId="35020"/>
    <cellStyle name="Normal 142 44 7" xfId="39751"/>
    <cellStyle name="Normal 142 45" xfId="7975"/>
    <cellStyle name="Normal 142 45 2" xfId="15055"/>
    <cellStyle name="Normal 142 45 3" xfId="20172"/>
    <cellStyle name="Normal 142 45 4" xfId="25215"/>
    <cellStyle name="Normal 142 45 5" xfId="30176"/>
    <cellStyle name="Normal 142 45 6" xfId="35034"/>
    <cellStyle name="Normal 142 45 7" xfId="39765"/>
    <cellStyle name="Normal 142 46" xfId="8044"/>
    <cellStyle name="Normal 142 46 2" xfId="15124"/>
    <cellStyle name="Normal 142 46 3" xfId="20241"/>
    <cellStyle name="Normal 142 46 4" xfId="25284"/>
    <cellStyle name="Normal 142 46 5" xfId="30245"/>
    <cellStyle name="Normal 142 46 6" xfId="35103"/>
    <cellStyle name="Normal 142 46 7" xfId="39834"/>
    <cellStyle name="Normal 142 47" xfId="8100"/>
    <cellStyle name="Normal 142 47 2" xfId="15180"/>
    <cellStyle name="Normal 142 47 3" xfId="20297"/>
    <cellStyle name="Normal 142 47 4" xfId="25340"/>
    <cellStyle name="Normal 142 47 5" xfId="30301"/>
    <cellStyle name="Normal 142 47 6" xfId="35159"/>
    <cellStyle name="Normal 142 47 7" xfId="39890"/>
    <cellStyle name="Normal 142 48" xfId="8579"/>
    <cellStyle name="Normal 142 48 2" xfId="15660"/>
    <cellStyle name="Normal 142 48 3" xfId="20777"/>
    <cellStyle name="Normal 142 48 4" xfId="25820"/>
    <cellStyle name="Normal 142 48 5" xfId="30781"/>
    <cellStyle name="Normal 142 48 6" xfId="35639"/>
    <cellStyle name="Normal 142 48 7" xfId="40370"/>
    <cellStyle name="Normal 142 49" xfId="8873"/>
    <cellStyle name="Normal 142 49 2" xfId="15954"/>
    <cellStyle name="Normal 142 49 3" xfId="21071"/>
    <cellStyle name="Normal 142 49 4" xfId="26114"/>
    <cellStyle name="Normal 142 49 5" xfId="31075"/>
    <cellStyle name="Normal 142 49 6" xfId="35933"/>
    <cellStyle name="Normal 142 49 7" xfId="40664"/>
    <cellStyle name="Normal 142 5" xfId="4403"/>
    <cellStyle name="Normal 142 5 2" xfId="5825"/>
    <cellStyle name="Normal 142 5 3" xfId="17924"/>
    <cellStyle name="Normal 142 5 4" xfId="22967"/>
    <cellStyle name="Normal 142 5 5" xfId="27928"/>
    <cellStyle name="Normal 142 5 6" xfId="32786"/>
    <cellStyle name="Normal 142 5 7" xfId="37517"/>
    <cellStyle name="Normal 142 50" xfId="8367"/>
    <cellStyle name="Normal 142 50 2" xfId="15448"/>
    <cellStyle name="Normal 142 50 3" xfId="20565"/>
    <cellStyle name="Normal 142 50 4" xfId="25608"/>
    <cellStyle name="Normal 142 50 5" xfId="30569"/>
    <cellStyle name="Normal 142 50 6" xfId="35427"/>
    <cellStyle name="Normal 142 50 7" xfId="40158"/>
    <cellStyle name="Normal 142 51" xfId="8265"/>
    <cellStyle name="Normal 142 51 2" xfId="15346"/>
    <cellStyle name="Normal 142 51 3" xfId="20463"/>
    <cellStyle name="Normal 142 51 4" xfId="25506"/>
    <cellStyle name="Normal 142 51 5" xfId="30467"/>
    <cellStyle name="Normal 142 51 6" xfId="35325"/>
    <cellStyle name="Normal 142 51 7" xfId="40056"/>
    <cellStyle name="Normal 142 52" xfId="8829"/>
    <cellStyle name="Normal 142 52 2" xfId="15910"/>
    <cellStyle name="Normal 142 52 3" xfId="21027"/>
    <cellStyle name="Normal 142 52 4" xfId="26070"/>
    <cellStyle name="Normal 142 52 5" xfId="31031"/>
    <cellStyle name="Normal 142 52 6" xfId="35889"/>
    <cellStyle name="Normal 142 52 7" xfId="40620"/>
    <cellStyle name="Normal 142 53" xfId="8398"/>
    <cellStyle name="Normal 142 53 2" xfId="15479"/>
    <cellStyle name="Normal 142 53 3" xfId="20596"/>
    <cellStyle name="Normal 142 53 4" xfId="25639"/>
    <cellStyle name="Normal 142 53 5" xfId="30600"/>
    <cellStyle name="Normal 142 53 6" xfId="35458"/>
    <cellStyle name="Normal 142 53 7" xfId="40189"/>
    <cellStyle name="Normal 142 54" xfId="8760"/>
    <cellStyle name="Normal 142 54 2" xfId="15841"/>
    <cellStyle name="Normal 142 54 3" xfId="20958"/>
    <cellStyle name="Normal 142 54 4" xfId="26001"/>
    <cellStyle name="Normal 142 54 5" xfId="30962"/>
    <cellStyle name="Normal 142 54 6" xfId="35820"/>
    <cellStyle name="Normal 142 54 7" xfId="40551"/>
    <cellStyle name="Normal 142 55" xfId="8847"/>
    <cellStyle name="Normal 142 55 2" xfId="15928"/>
    <cellStyle name="Normal 142 55 3" xfId="21045"/>
    <cellStyle name="Normal 142 55 4" xfId="26088"/>
    <cellStyle name="Normal 142 55 5" xfId="31049"/>
    <cellStyle name="Normal 142 55 6" xfId="35907"/>
    <cellStyle name="Normal 142 55 7" xfId="40638"/>
    <cellStyle name="Normal 142 56" xfId="8572"/>
    <cellStyle name="Normal 142 56 2" xfId="15653"/>
    <cellStyle name="Normal 142 56 3" xfId="20770"/>
    <cellStyle name="Normal 142 56 4" xfId="25813"/>
    <cellStyle name="Normal 142 56 5" xfId="30774"/>
    <cellStyle name="Normal 142 56 6" xfId="35632"/>
    <cellStyle name="Normal 142 56 7" xfId="40363"/>
    <cellStyle name="Normal 142 57" xfId="8858"/>
    <cellStyle name="Normal 142 57 2" xfId="15939"/>
    <cellStyle name="Normal 142 57 3" xfId="21056"/>
    <cellStyle name="Normal 142 57 4" xfId="26099"/>
    <cellStyle name="Normal 142 57 5" xfId="31060"/>
    <cellStyle name="Normal 142 57 6" xfId="35918"/>
    <cellStyle name="Normal 142 57 7" xfId="40649"/>
    <cellStyle name="Normal 142 58" xfId="8755"/>
    <cellStyle name="Normal 142 58 2" xfId="15836"/>
    <cellStyle name="Normal 142 58 3" xfId="20953"/>
    <cellStyle name="Normal 142 58 4" xfId="25996"/>
    <cellStyle name="Normal 142 58 5" xfId="30957"/>
    <cellStyle name="Normal 142 58 6" xfId="35815"/>
    <cellStyle name="Normal 142 58 7" xfId="40546"/>
    <cellStyle name="Normal 142 59" xfId="8867"/>
    <cellStyle name="Normal 142 59 2" xfId="15948"/>
    <cellStyle name="Normal 142 59 3" xfId="21065"/>
    <cellStyle name="Normal 142 59 4" xfId="26108"/>
    <cellStyle name="Normal 142 59 5" xfId="31069"/>
    <cellStyle name="Normal 142 59 6" xfId="35927"/>
    <cellStyle name="Normal 142 59 7" xfId="40658"/>
    <cellStyle name="Normal 142 6" xfId="4459"/>
    <cellStyle name="Normal 142 6 2" xfId="6421"/>
    <cellStyle name="Normal 142 6 3" xfId="18531"/>
    <cellStyle name="Normal 142 6 4" xfId="23574"/>
    <cellStyle name="Normal 142 6 5" xfId="28535"/>
    <cellStyle name="Normal 142 6 6" xfId="33393"/>
    <cellStyle name="Normal 142 6 7" xfId="38124"/>
    <cellStyle name="Normal 142 60" xfId="8243"/>
    <cellStyle name="Normal 142 60 2" xfId="15324"/>
    <cellStyle name="Normal 142 60 3" xfId="20441"/>
    <cellStyle name="Normal 142 60 4" xfId="25484"/>
    <cellStyle name="Normal 142 60 5" xfId="30445"/>
    <cellStyle name="Normal 142 60 6" xfId="35303"/>
    <cellStyle name="Normal 142 60 7" xfId="40034"/>
    <cellStyle name="Normal 142 61" xfId="8828"/>
    <cellStyle name="Normal 142 61 2" xfId="15909"/>
    <cellStyle name="Normal 142 61 3" xfId="21026"/>
    <cellStyle name="Normal 142 61 4" xfId="26069"/>
    <cellStyle name="Normal 142 61 5" xfId="31030"/>
    <cellStyle name="Normal 142 61 6" xfId="35888"/>
    <cellStyle name="Normal 142 61 7" xfId="40619"/>
    <cellStyle name="Normal 142 62" xfId="8273"/>
    <cellStyle name="Normal 142 62 2" xfId="15354"/>
    <cellStyle name="Normal 142 62 3" xfId="20471"/>
    <cellStyle name="Normal 142 62 4" xfId="25514"/>
    <cellStyle name="Normal 142 62 5" xfId="30475"/>
    <cellStyle name="Normal 142 62 6" xfId="35333"/>
    <cellStyle name="Normal 142 62 7" xfId="40064"/>
    <cellStyle name="Normal 142 63" xfId="9353"/>
    <cellStyle name="Normal 142 63 2" xfId="16434"/>
    <cellStyle name="Normal 142 63 3" xfId="21551"/>
    <cellStyle name="Normal 142 63 4" xfId="26594"/>
    <cellStyle name="Normal 142 63 5" xfId="31555"/>
    <cellStyle name="Normal 142 63 6" xfId="36413"/>
    <cellStyle name="Normal 142 63 7" xfId="41144"/>
    <cellStyle name="Normal 142 64" xfId="9587"/>
    <cellStyle name="Normal 142 64 2" xfId="16668"/>
    <cellStyle name="Normal 142 64 3" xfId="21785"/>
    <cellStyle name="Normal 142 64 4" xfId="26828"/>
    <cellStyle name="Normal 142 64 5" xfId="31789"/>
    <cellStyle name="Normal 142 64 6" xfId="36647"/>
    <cellStyle name="Normal 142 64 7" xfId="41378"/>
    <cellStyle name="Normal 142 65" xfId="9169"/>
    <cellStyle name="Normal 142 65 2" xfId="16250"/>
    <cellStyle name="Normal 142 65 3" xfId="21367"/>
    <cellStyle name="Normal 142 65 4" xfId="26410"/>
    <cellStyle name="Normal 142 65 5" xfId="31371"/>
    <cellStyle name="Normal 142 65 6" xfId="36229"/>
    <cellStyle name="Normal 142 65 7" xfId="40960"/>
    <cellStyle name="Normal 142 66" xfId="9083"/>
    <cellStyle name="Normal 142 66 2" xfId="16164"/>
    <cellStyle name="Normal 142 66 3" xfId="21281"/>
    <cellStyle name="Normal 142 66 4" xfId="26324"/>
    <cellStyle name="Normal 142 66 5" xfId="31285"/>
    <cellStyle name="Normal 142 66 6" xfId="36143"/>
    <cellStyle name="Normal 142 66 7" xfId="40874"/>
    <cellStyle name="Normal 142 67" xfId="9550"/>
    <cellStyle name="Normal 142 67 2" xfId="16631"/>
    <cellStyle name="Normal 142 67 3" xfId="21748"/>
    <cellStyle name="Normal 142 67 4" xfId="26791"/>
    <cellStyle name="Normal 142 67 5" xfId="31752"/>
    <cellStyle name="Normal 142 67 6" xfId="36610"/>
    <cellStyle name="Normal 142 67 7" xfId="41341"/>
    <cellStyle name="Normal 142 68" xfId="9199"/>
    <cellStyle name="Normal 142 68 2" xfId="16280"/>
    <cellStyle name="Normal 142 68 3" xfId="21397"/>
    <cellStyle name="Normal 142 68 4" xfId="26440"/>
    <cellStyle name="Normal 142 68 5" xfId="31401"/>
    <cellStyle name="Normal 142 68 6" xfId="36259"/>
    <cellStyle name="Normal 142 68 7" xfId="40990"/>
    <cellStyle name="Normal 142 69" xfId="9495"/>
    <cellStyle name="Normal 142 69 2" xfId="16576"/>
    <cellStyle name="Normal 142 69 3" xfId="21693"/>
    <cellStyle name="Normal 142 69 4" xfId="26736"/>
    <cellStyle name="Normal 142 69 5" xfId="31697"/>
    <cellStyle name="Normal 142 69 6" xfId="36555"/>
    <cellStyle name="Normal 142 69 7" xfId="41286"/>
    <cellStyle name="Normal 142 7" xfId="4562"/>
    <cellStyle name="Normal 142 7 2" xfId="5972"/>
    <cellStyle name="Normal 142 7 3" xfId="18074"/>
    <cellStyle name="Normal 142 7 4" xfId="23117"/>
    <cellStyle name="Normal 142 7 5" xfId="28078"/>
    <cellStyle name="Normal 142 7 6" xfId="32936"/>
    <cellStyle name="Normal 142 7 7" xfId="37667"/>
    <cellStyle name="Normal 142 70" xfId="9332"/>
    <cellStyle name="Normal 142 70 2" xfId="16413"/>
    <cellStyle name="Normal 142 70 3" xfId="21530"/>
    <cellStyle name="Normal 142 70 4" xfId="26573"/>
    <cellStyle name="Normal 142 70 5" xfId="31534"/>
    <cellStyle name="Normal 142 70 6" xfId="36392"/>
    <cellStyle name="Normal 142 70 7" xfId="41123"/>
    <cellStyle name="Normal 142 71" xfId="9465"/>
    <cellStyle name="Normal 142 71 2" xfId="16546"/>
    <cellStyle name="Normal 142 71 3" xfId="21663"/>
    <cellStyle name="Normal 142 71 4" xfId="26706"/>
    <cellStyle name="Normal 142 71 5" xfId="31667"/>
    <cellStyle name="Normal 142 71 6" xfId="36525"/>
    <cellStyle name="Normal 142 71 7" xfId="41256"/>
    <cellStyle name="Normal 142 72" xfId="9521"/>
    <cellStyle name="Normal 142 72 2" xfId="16602"/>
    <cellStyle name="Normal 142 72 3" xfId="21719"/>
    <cellStyle name="Normal 142 72 4" xfId="26762"/>
    <cellStyle name="Normal 142 72 5" xfId="31723"/>
    <cellStyle name="Normal 142 72 6" xfId="36581"/>
    <cellStyle name="Normal 142 72 7" xfId="41312"/>
    <cellStyle name="Normal 142 73" xfId="9496"/>
    <cellStyle name="Normal 142 73 2" xfId="16577"/>
    <cellStyle name="Normal 142 73 3" xfId="21694"/>
    <cellStyle name="Normal 142 73 4" xfId="26737"/>
    <cellStyle name="Normal 142 73 5" xfId="31698"/>
    <cellStyle name="Normal 142 73 6" xfId="36556"/>
    <cellStyle name="Normal 142 73 7" xfId="41287"/>
    <cellStyle name="Normal 142 74" xfId="9506"/>
    <cellStyle name="Normal 142 74 2" xfId="16587"/>
    <cellStyle name="Normal 142 74 3" xfId="21704"/>
    <cellStyle name="Normal 142 74 4" xfId="26747"/>
    <cellStyle name="Normal 142 74 5" xfId="31708"/>
    <cellStyle name="Normal 142 74 6" xfId="36566"/>
    <cellStyle name="Normal 142 74 7" xfId="41297"/>
    <cellStyle name="Normal 142 75" xfId="9862"/>
    <cellStyle name="Normal 142 75 2" xfId="16943"/>
    <cellStyle name="Normal 142 75 3" xfId="22060"/>
    <cellStyle name="Normal 142 75 4" xfId="27103"/>
    <cellStyle name="Normal 142 75 5" xfId="32064"/>
    <cellStyle name="Normal 142 75 6" xfId="36922"/>
    <cellStyle name="Normal 142 75 7" xfId="41653"/>
    <cellStyle name="Normal 142 76" xfId="9989"/>
    <cellStyle name="Normal 142 76 2" xfId="17070"/>
    <cellStyle name="Normal 142 76 3" xfId="22187"/>
    <cellStyle name="Normal 142 76 4" xfId="27230"/>
    <cellStyle name="Normal 142 76 5" xfId="32191"/>
    <cellStyle name="Normal 142 76 6" xfId="37049"/>
    <cellStyle name="Normal 142 76 7" xfId="41780"/>
    <cellStyle name="Normal 142 77" xfId="9773"/>
    <cellStyle name="Normal 142 77 2" xfId="16854"/>
    <cellStyle name="Normal 142 77 3" xfId="21971"/>
    <cellStyle name="Normal 142 77 4" xfId="27014"/>
    <cellStyle name="Normal 142 77 5" xfId="31975"/>
    <cellStyle name="Normal 142 77 6" xfId="36833"/>
    <cellStyle name="Normal 142 77 7" xfId="41564"/>
    <cellStyle name="Normal 142 78" xfId="9729"/>
    <cellStyle name="Normal 142 78 2" xfId="16810"/>
    <cellStyle name="Normal 142 78 3" xfId="21927"/>
    <cellStyle name="Normal 142 78 4" xfId="26970"/>
    <cellStyle name="Normal 142 78 5" xfId="31931"/>
    <cellStyle name="Normal 142 78 6" xfId="36789"/>
    <cellStyle name="Normal 142 78 7" xfId="41520"/>
    <cellStyle name="Normal 142 79" xfId="9975"/>
    <cellStyle name="Normal 142 79 2" xfId="17056"/>
    <cellStyle name="Normal 142 79 3" xfId="22173"/>
    <cellStyle name="Normal 142 79 4" xfId="27216"/>
    <cellStyle name="Normal 142 79 5" xfId="32177"/>
    <cellStyle name="Normal 142 79 6" xfId="37035"/>
    <cellStyle name="Normal 142 79 7" xfId="41766"/>
    <cellStyle name="Normal 142 8" xfId="4630"/>
    <cellStyle name="Normal 142 8 2" xfId="6350"/>
    <cellStyle name="Normal 142 8 3" xfId="18458"/>
    <cellStyle name="Normal 142 8 4" xfId="23501"/>
    <cellStyle name="Normal 142 8 5" xfId="28462"/>
    <cellStyle name="Normal 142 8 6" xfId="33320"/>
    <cellStyle name="Normal 142 8 7" xfId="38051"/>
    <cellStyle name="Normal 142 80" xfId="9784"/>
    <cellStyle name="Normal 142 80 2" xfId="16865"/>
    <cellStyle name="Normal 142 80 3" xfId="21982"/>
    <cellStyle name="Normal 142 80 4" xfId="27025"/>
    <cellStyle name="Normal 142 80 5" xfId="31986"/>
    <cellStyle name="Normal 142 80 6" xfId="36844"/>
    <cellStyle name="Normal 142 80 7" xfId="41575"/>
    <cellStyle name="Normal 142 81" xfId="10192"/>
    <cellStyle name="Normal 142 81 2" xfId="17273"/>
    <cellStyle name="Normal 142 81 3" xfId="22390"/>
    <cellStyle name="Normal 142 81 4" xfId="27433"/>
    <cellStyle name="Normal 142 81 5" xfId="32394"/>
    <cellStyle name="Normal 142 81 6" xfId="37252"/>
    <cellStyle name="Normal 142 81 7" xfId="41983"/>
    <cellStyle name="Normal 142 82" xfId="10319"/>
    <cellStyle name="Normal 142 82 2" xfId="17400"/>
    <cellStyle name="Normal 142 82 3" xfId="22517"/>
    <cellStyle name="Normal 142 82 4" xfId="27560"/>
    <cellStyle name="Normal 142 82 5" xfId="32521"/>
    <cellStyle name="Normal 142 82 6" xfId="37379"/>
    <cellStyle name="Normal 142 82 7" xfId="42110"/>
    <cellStyle name="Normal 142 83" xfId="10103"/>
    <cellStyle name="Normal 142 83 2" xfId="17184"/>
    <cellStyle name="Normal 142 83 3" xfId="22301"/>
    <cellStyle name="Normal 142 83 4" xfId="27344"/>
    <cellStyle name="Normal 142 83 5" xfId="32305"/>
    <cellStyle name="Normal 142 83 6" xfId="37163"/>
    <cellStyle name="Normal 142 83 7" xfId="41894"/>
    <cellStyle name="Normal 142 84" xfId="10059"/>
    <cellStyle name="Normal 142 84 2" xfId="17140"/>
    <cellStyle name="Normal 142 84 3" xfId="22257"/>
    <cellStyle name="Normal 142 84 4" xfId="27300"/>
    <cellStyle name="Normal 142 84 5" xfId="32261"/>
    <cellStyle name="Normal 142 84 6" xfId="37119"/>
    <cellStyle name="Normal 142 84 7" xfId="41850"/>
    <cellStyle name="Normal 142 85" xfId="10305"/>
    <cellStyle name="Normal 142 85 2" xfId="17386"/>
    <cellStyle name="Normal 142 85 3" xfId="22503"/>
    <cellStyle name="Normal 142 85 4" xfId="27546"/>
    <cellStyle name="Normal 142 85 5" xfId="32507"/>
    <cellStyle name="Normal 142 85 6" xfId="37365"/>
    <cellStyle name="Normal 142 85 7" xfId="42096"/>
    <cellStyle name="Normal 142 86" xfId="10114"/>
    <cellStyle name="Normal 142 86 2" xfId="17195"/>
    <cellStyle name="Normal 142 86 3" xfId="22312"/>
    <cellStyle name="Normal 142 86 4" xfId="27355"/>
    <cellStyle name="Normal 142 86 5" xfId="32316"/>
    <cellStyle name="Normal 142 86 6" xfId="37174"/>
    <cellStyle name="Normal 142 86 7" xfId="41905"/>
    <cellStyle name="Normal 142 87" xfId="12839"/>
    <cellStyle name="Normal 142 88" xfId="12476"/>
    <cellStyle name="Normal 142 89" xfId="11933"/>
    <cellStyle name="Normal 142 9" xfId="4495"/>
    <cellStyle name="Normal 142 9 2" xfId="6137"/>
    <cellStyle name="Normal 142 9 3" xfId="18241"/>
    <cellStyle name="Normal 142 9 4" xfId="23284"/>
    <cellStyle name="Normal 142 9 5" xfId="28245"/>
    <cellStyle name="Normal 142 9 6" xfId="33103"/>
    <cellStyle name="Normal 142 9 7" xfId="37834"/>
    <cellStyle name="Normal 142 90" xfId="12081"/>
    <cellStyle name="Normal 142 91" xfId="14095"/>
    <cellStyle name="Normal 142 92" xfId="17807"/>
    <cellStyle name="Normal 143" xfId="3253"/>
    <cellStyle name="Normal 143 10" xfId="4709"/>
    <cellStyle name="Normal 143 10 2" xfId="6366"/>
    <cellStyle name="Normal 143 10 3" xfId="18475"/>
    <cellStyle name="Normal 143 10 4" xfId="23518"/>
    <cellStyle name="Normal 143 10 5" xfId="28479"/>
    <cellStyle name="Normal 143 10 6" xfId="33337"/>
    <cellStyle name="Normal 143 10 7" xfId="38068"/>
    <cellStyle name="Normal 143 11" xfId="4722"/>
    <cellStyle name="Normal 143 11 2" xfId="6108"/>
    <cellStyle name="Normal 143 11 3" xfId="18212"/>
    <cellStyle name="Normal 143 11 4" xfId="23255"/>
    <cellStyle name="Normal 143 11 5" xfId="28216"/>
    <cellStyle name="Normal 143 11 6" xfId="33074"/>
    <cellStyle name="Normal 143 11 7" xfId="37805"/>
    <cellStyle name="Normal 143 12" xfId="4896"/>
    <cellStyle name="Normal 143 12 2" xfId="6163"/>
    <cellStyle name="Normal 143 12 3" xfId="18267"/>
    <cellStyle name="Normal 143 12 4" xfId="23310"/>
    <cellStyle name="Normal 143 12 5" xfId="28271"/>
    <cellStyle name="Normal 143 12 6" xfId="33129"/>
    <cellStyle name="Normal 143 12 7" xfId="37860"/>
    <cellStyle name="Normal 143 13" xfId="4805"/>
    <cellStyle name="Normal 143 13 2" xfId="6152"/>
    <cellStyle name="Normal 143 13 3" xfId="18256"/>
    <cellStyle name="Normal 143 13 4" xfId="23299"/>
    <cellStyle name="Normal 143 13 5" xfId="28260"/>
    <cellStyle name="Normal 143 13 6" xfId="33118"/>
    <cellStyle name="Normal 143 13 7" xfId="37849"/>
    <cellStyle name="Normal 143 14" xfId="4806"/>
    <cellStyle name="Normal 143 14 2" xfId="6021"/>
    <cellStyle name="Normal 143 14 3" xfId="18125"/>
    <cellStyle name="Normal 143 14 4" xfId="23168"/>
    <cellStyle name="Normal 143 14 5" xfId="28129"/>
    <cellStyle name="Normal 143 14 6" xfId="32987"/>
    <cellStyle name="Normal 143 14 7" xfId="37718"/>
    <cellStyle name="Normal 143 15" xfId="4782"/>
    <cellStyle name="Normal 143 15 2" xfId="6359"/>
    <cellStyle name="Normal 143 15 3" xfId="18468"/>
    <cellStyle name="Normal 143 15 4" xfId="23511"/>
    <cellStyle name="Normal 143 15 5" xfId="28472"/>
    <cellStyle name="Normal 143 15 6" xfId="33330"/>
    <cellStyle name="Normal 143 15 7" xfId="38061"/>
    <cellStyle name="Normal 143 16" xfId="5116"/>
    <cellStyle name="Normal 143 16 2" xfId="5884"/>
    <cellStyle name="Normal 143 16 3" xfId="17984"/>
    <cellStyle name="Normal 143 16 4" xfId="23027"/>
    <cellStyle name="Normal 143 16 5" xfId="27988"/>
    <cellStyle name="Normal 143 16 6" xfId="32846"/>
    <cellStyle name="Normal 143 16 7" xfId="37577"/>
    <cellStyle name="Normal 143 17" xfId="5020"/>
    <cellStyle name="Normal 143 17 2" xfId="5963"/>
    <cellStyle name="Normal 143 17 3" xfId="18065"/>
    <cellStyle name="Normal 143 17 4" xfId="23108"/>
    <cellStyle name="Normal 143 17 5" xfId="28069"/>
    <cellStyle name="Normal 143 17 6" xfId="32927"/>
    <cellStyle name="Normal 143 17 7" xfId="37658"/>
    <cellStyle name="Normal 143 18" xfId="4994"/>
    <cellStyle name="Normal 143 18 2" xfId="6813"/>
    <cellStyle name="Normal 143 18 3" xfId="18934"/>
    <cellStyle name="Normal 143 18 4" xfId="23977"/>
    <cellStyle name="Normal 143 18 5" xfId="28938"/>
    <cellStyle name="Normal 143 18 6" xfId="33796"/>
    <cellStyle name="Normal 143 18 7" xfId="38527"/>
    <cellStyle name="Normal 143 19" xfId="4986"/>
    <cellStyle name="Normal 143 19 2" xfId="6722"/>
    <cellStyle name="Normal 143 19 3" xfId="18843"/>
    <cellStyle name="Normal 143 19 4" xfId="23886"/>
    <cellStyle name="Normal 143 19 5" xfId="28847"/>
    <cellStyle name="Normal 143 19 6" xfId="33705"/>
    <cellStyle name="Normal 143 19 7" xfId="38436"/>
    <cellStyle name="Normal 143 2" xfId="4329"/>
    <cellStyle name="Normal 143 2 2" xfId="6340"/>
    <cellStyle name="Normal 143 2 3" xfId="18448"/>
    <cellStyle name="Normal 143 2 4" xfId="23491"/>
    <cellStyle name="Normal 143 2 5" xfId="28452"/>
    <cellStyle name="Normal 143 2 6" xfId="33310"/>
    <cellStyle name="Normal 143 2 7" xfId="38041"/>
    <cellStyle name="Normal 143 20" xfId="5516"/>
    <cellStyle name="Normal 143 20 2" xfId="6723"/>
    <cellStyle name="Normal 143 20 3" xfId="18844"/>
    <cellStyle name="Normal 143 20 4" xfId="23887"/>
    <cellStyle name="Normal 143 20 5" xfId="28848"/>
    <cellStyle name="Normal 143 20 6" xfId="33706"/>
    <cellStyle name="Normal 143 20 7" xfId="38437"/>
    <cellStyle name="Normal 143 21" xfId="5336"/>
    <cellStyle name="Normal 143 21 2" xfId="6700"/>
    <cellStyle name="Normal 143 21 3" xfId="18821"/>
    <cellStyle name="Normal 143 21 4" xfId="23864"/>
    <cellStyle name="Normal 143 21 5" xfId="28825"/>
    <cellStyle name="Normal 143 21 6" xfId="33683"/>
    <cellStyle name="Normal 143 21 7" xfId="38414"/>
    <cellStyle name="Normal 143 22" xfId="5337"/>
    <cellStyle name="Normal 143 22 2" xfId="7265"/>
    <cellStyle name="Normal 143 22 3" xfId="19429"/>
    <cellStyle name="Normal 143 22 4" xfId="24472"/>
    <cellStyle name="Normal 143 22 5" xfId="29433"/>
    <cellStyle name="Normal 143 22 6" xfId="34291"/>
    <cellStyle name="Normal 143 22 7" xfId="39022"/>
    <cellStyle name="Normal 143 23" xfId="5295"/>
    <cellStyle name="Normal 143 23 2" xfId="7054"/>
    <cellStyle name="Normal 143 23 3" xfId="19198"/>
    <cellStyle name="Normal 143 23 4" xfId="24241"/>
    <cellStyle name="Normal 143 23 5" xfId="29202"/>
    <cellStyle name="Normal 143 23 6" xfId="34060"/>
    <cellStyle name="Normal 143 23 7" xfId="38791"/>
    <cellStyle name="Normal 143 24" xfId="5483"/>
    <cellStyle name="Normal 143 24 2" xfId="7056"/>
    <cellStyle name="Normal 143 24 3" xfId="19200"/>
    <cellStyle name="Normal 143 24 4" xfId="24243"/>
    <cellStyle name="Normal 143 24 5" xfId="29204"/>
    <cellStyle name="Normal 143 24 6" xfId="34062"/>
    <cellStyle name="Normal 143 24 7" xfId="38793"/>
    <cellStyle name="Normal 143 25" xfId="5232"/>
    <cellStyle name="Normal 143 25 2" xfId="7004"/>
    <cellStyle name="Normal 143 25 3" xfId="19143"/>
    <cellStyle name="Normal 143 25 4" xfId="24186"/>
    <cellStyle name="Normal 143 25 5" xfId="29147"/>
    <cellStyle name="Normal 143 25 6" xfId="34005"/>
    <cellStyle name="Normal 143 25 7" xfId="38736"/>
    <cellStyle name="Normal 143 26" xfId="5362"/>
    <cellStyle name="Normal 143 26 2" xfId="7121"/>
    <cellStyle name="Normal 143 26 3" xfId="19269"/>
    <cellStyle name="Normal 143 26 4" xfId="24312"/>
    <cellStyle name="Normal 143 26 5" xfId="29273"/>
    <cellStyle name="Normal 143 26 6" xfId="34131"/>
    <cellStyle name="Normal 143 26 7" xfId="38862"/>
    <cellStyle name="Normal 143 27" xfId="5417"/>
    <cellStyle name="Normal 143 27 2" xfId="7240"/>
    <cellStyle name="Normal 143 27 3" xfId="19402"/>
    <cellStyle name="Normal 143 27 4" xfId="24445"/>
    <cellStyle name="Normal 143 27 5" xfId="29406"/>
    <cellStyle name="Normal 143 27 6" xfId="34264"/>
    <cellStyle name="Normal 143 27 7" xfId="38995"/>
    <cellStyle name="Normal 143 28" xfId="5450"/>
    <cellStyle name="Normal 143 28 2" xfId="7336"/>
    <cellStyle name="Normal 143 28 3" xfId="19508"/>
    <cellStyle name="Normal 143 28 4" xfId="24551"/>
    <cellStyle name="Normal 143 28 5" xfId="29512"/>
    <cellStyle name="Normal 143 28 6" xfId="34370"/>
    <cellStyle name="Normal 143 28 7" xfId="39101"/>
    <cellStyle name="Normal 143 29" xfId="5795"/>
    <cellStyle name="Normal 143 29 2" xfId="14290"/>
    <cellStyle name="Normal 143 29 3" xfId="19130"/>
    <cellStyle name="Normal 143 29 4" xfId="24173"/>
    <cellStyle name="Normal 143 29 5" xfId="29134"/>
    <cellStyle name="Normal 143 29 6" xfId="33992"/>
    <cellStyle name="Normal 143 29 7" xfId="38723"/>
    <cellStyle name="Normal 143 3" xfId="4240"/>
    <cellStyle name="Normal 143 3 2" xfId="6045"/>
    <cellStyle name="Normal 143 3 3" xfId="18149"/>
    <cellStyle name="Normal 143 3 4" xfId="23192"/>
    <cellStyle name="Normal 143 3 5" xfId="28153"/>
    <cellStyle name="Normal 143 3 6" xfId="33011"/>
    <cellStyle name="Normal 143 3 7" xfId="37742"/>
    <cellStyle name="Normal 143 30" xfId="7281"/>
    <cellStyle name="Normal 143 30 2" xfId="14430"/>
    <cellStyle name="Normal 143 30 3" xfId="19448"/>
    <cellStyle name="Normal 143 30 4" xfId="24491"/>
    <cellStyle name="Normal 143 30 5" xfId="29452"/>
    <cellStyle name="Normal 143 30 6" xfId="34310"/>
    <cellStyle name="Normal 143 30 7" xfId="39041"/>
    <cellStyle name="Normal 143 31" xfId="7103"/>
    <cellStyle name="Normal 143 31 2" xfId="14346"/>
    <cellStyle name="Normal 143 31 3" xfId="19249"/>
    <cellStyle name="Normal 143 31 4" xfId="24292"/>
    <cellStyle name="Normal 143 31 5" xfId="29253"/>
    <cellStyle name="Normal 143 31 6" xfId="34111"/>
    <cellStyle name="Normal 143 31 7" xfId="38842"/>
    <cellStyle name="Normal 143 32" xfId="7140"/>
    <cellStyle name="Normal 143 32 2" xfId="14369"/>
    <cellStyle name="Normal 143 32 3" xfId="19292"/>
    <cellStyle name="Normal 143 32 4" xfId="24335"/>
    <cellStyle name="Normal 143 32 5" xfId="29296"/>
    <cellStyle name="Normal 143 32 6" xfId="34154"/>
    <cellStyle name="Normal 143 32 7" xfId="38885"/>
    <cellStyle name="Normal 143 33" xfId="7134"/>
    <cellStyle name="Normal 143 33 2" xfId="14364"/>
    <cellStyle name="Normal 143 33 3" xfId="19283"/>
    <cellStyle name="Normal 143 33 4" xfId="24326"/>
    <cellStyle name="Normal 143 33 5" xfId="29287"/>
    <cellStyle name="Normal 143 33 6" xfId="34145"/>
    <cellStyle name="Normal 143 33 7" xfId="38876"/>
    <cellStyle name="Normal 143 34" xfId="7951"/>
    <cellStyle name="Normal 143 34 2" xfId="15031"/>
    <cellStyle name="Normal 143 34 3" xfId="20148"/>
    <cellStyle name="Normal 143 34 4" xfId="25191"/>
    <cellStyle name="Normal 143 34 5" xfId="30152"/>
    <cellStyle name="Normal 143 34 6" xfId="35010"/>
    <cellStyle name="Normal 143 34 7" xfId="39741"/>
    <cellStyle name="Normal 143 35" xfId="7689"/>
    <cellStyle name="Normal 143 35 2" xfId="14769"/>
    <cellStyle name="Normal 143 35 3" xfId="19886"/>
    <cellStyle name="Normal 143 35 4" xfId="24929"/>
    <cellStyle name="Normal 143 35 5" xfId="29890"/>
    <cellStyle name="Normal 143 35 6" xfId="34748"/>
    <cellStyle name="Normal 143 35 7" xfId="39479"/>
    <cellStyle name="Normal 143 36" xfId="7692"/>
    <cellStyle name="Normal 143 36 2" xfId="14772"/>
    <cellStyle name="Normal 143 36 3" xfId="19889"/>
    <cellStyle name="Normal 143 36 4" xfId="24932"/>
    <cellStyle name="Normal 143 36 5" xfId="29893"/>
    <cellStyle name="Normal 143 36 6" xfId="34751"/>
    <cellStyle name="Normal 143 36 7" xfId="39482"/>
    <cellStyle name="Normal 143 37" xfId="7628"/>
    <cellStyle name="Normal 143 37 2" xfId="14708"/>
    <cellStyle name="Normal 143 37 3" xfId="19825"/>
    <cellStyle name="Normal 143 37 4" xfId="24868"/>
    <cellStyle name="Normal 143 37 5" xfId="29829"/>
    <cellStyle name="Normal 143 37 6" xfId="34687"/>
    <cellStyle name="Normal 143 37 7" xfId="39418"/>
    <cellStyle name="Normal 143 38" xfId="7769"/>
    <cellStyle name="Normal 143 38 2" xfId="14849"/>
    <cellStyle name="Normal 143 38 3" xfId="19966"/>
    <cellStyle name="Normal 143 38 4" xfId="25009"/>
    <cellStyle name="Normal 143 38 5" xfId="29970"/>
    <cellStyle name="Normal 143 38 6" xfId="34828"/>
    <cellStyle name="Normal 143 38 7" xfId="39559"/>
    <cellStyle name="Normal 143 39" xfId="7919"/>
    <cellStyle name="Normal 143 39 2" xfId="14999"/>
    <cellStyle name="Normal 143 39 3" xfId="20116"/>
    <cellStyle name="Normal 143 39 4" xfId="25159"/>
    <cellStyle name="Normal 143 39 5" xfId="30120"/>
    <cellStyle name="Normal 143 39 6" xfId="34978"/>
    <cellStyle name="Normal 143 39 7" xfId="39709"/>
    <cellStyle name="Normal 143 4" xfId="4255"/>
    <cellStyle name="Normal 143 4 2" xfId="6048"/>
    <cellStyle name="Normal 143 4 3" xfId="18152"/>
    <cellStyle name="Normal 143 4 4" xfId="23195"/>
    <cellStyle name="Normal 143 4 5" xfId="28156"/>
    <cellStyle name="Normal 143 4 6" xfId="33014"/>
    <cellStyle name="Normal 143 4 7" xfId="37745"/>
    <cellStyle name="Normal 143 40" xfId="8051"/>
    <cellStyle name="Normal 143 40 2" xfId="15131"/>
    <cellStyle name="Normal 143 40 3" xfId="20248"/>
    <cellStyle name="Normal 143 40 4" xfId="25291"/>
    <cellStyle name="Normal 143 40 5" xfId="30252"/>
    <cellStyle name="Normal 143 40 6" xfId="35110"/>
    <cellStyle name="Normal 143 40 7" xfId="39841"/>
    <cellStyle name="Normal 143 41" xfId="7615"/>
    <cellStyle name="Normal 143 41 2" xfId="14695"/>
    <cellStyle name="Normal 143 41 3" xfId="19812"/>
    <cellStyle name="Normal 143 41 4" xfId="24855"/>
    <cellStyle name="Normal 143 41 5" xfId="29816"/>
    <cellStyle name="Normal 143 41 6" xfId="34674"/>
    <cellStyle name="Normal 143 41 7" xfId="39405"/>
    <cellStyle name="Normal 143 42" xfId="7977"/>
    <cellStyle name="Normal 143 42 2" xfId="15057"/>
    <cellStyle name="Normal 143 42 3" xfId="20174"/>
    <cellStyle name="Normal 143 42 4" xfId="25217"/>
    <cellStyle name="Normal 143 42 5" xfId="30178"/>
    <cellStyle name="Normal 143 42 6" xfId="35036"/>
    <cellStyle name="Normal 143 42 7" xfId="39767"/>
    <cellStyle name="Normal 143 43" xfId="7746"/>
    <cellStyle name="Normal 143 43 2" xfId="14826"/>
    <cellStyle name="Normal 143 43 3" xfId="19943"/>
    <cellStyle name="Normal 143 43 4" xfId="24986"/>
    <cellStyle name="Normal 143 43 5" xfId="29947"/>
    <cellStyle name="Normal 143 43 6" xfId="34805"/>
    <cellStyle name="Normal 143 43 7" xfId="39536"/>
    <cellStyle name="Normal 143 44" xfId="7794"/>
    <cellStyle name="Normal 143 44 2" xfId="14874"/>
    <cellStyle name="Normal 143 44 3" xfId="19991"/>
    <cellStyle name="Normal 143 44 4" xfId="25034"/>
    <cellStyle name="Normal 143 44 5" xfId="29995"/>
    <cellStyle name="Normal 143 44 6" xfId="34853"/>
    <cellStyle name="Normal 143 44 7" xfId="39584"/>
    <cellStyle name="Normal 143 45" xfId="7785"/>
    <cellStyle name="Normal 143 45 2" xfId="14865"/>
    <cellStyle name="Normal 143 45 3" xfId="19982"/>
    <cellStyle name="Normal 143 45 4" xfId="25025"/>
    <cellStyle name="Normal 143 45 5" xfId="29986"/>
    <cellStyle name="Normal 143 45 6" xfId="34844"/>
    <cellStyle name="Normal 143 45 7" xfId="39575"/>
    <cellStyle name="Normal 143 46" xfId="7668"/>
    <cellStyle name="Normal 143 46 2" xfId="14748"/>
    <cellStyle name="Normal 143 46 3" xfId="19865"/>
    <cellStyle name="Normal 143 46 4" xfId="24908"/>
    <cellStyle name="Normal 143 46 5" xfId="29869"/>
    <cellStyle name="Normal 143 46 6" xfId="34727"/>
    <cellStyle name="Normal 143 46 7" xfId="39458"/>
    <cellStyle name="Normal 143 47" xfId="7970"/>
    <cellStyle name="Normal 143 47 2" xfId="15050"/>
    <cellStyle name="Normal 143 47 3" xfId="20167"/>
    <cellStyle name="Normal 143 47 4" xfId="25210"/>
    <cellStyle name="Normal 143 47 5" xfId="30171"/>
    <cellStyle name="Normal 143 47 6" xfId="35029"/>
    <cellStyle name="Normal 143 47 7" xfId="39760"/>
    <cellStyle name="Normal 143 48" xfId="8753"/>
    <cellStyle name="Normal 143 48 2" xfId="15834"/>
    <cellStyle name="Normal 143 48 3" xfId="20951"/>
    <cellStyle name="Normal 143 48 4" xfId="25994"/>
    <cellStyle name="Normal 143 48 5" xfId="30955"/>
    <cellStyle name="Normal 143 48 6" xfId="35813"/>
    <cellStyle name="Normal 143 48 7" xfId="40544"/>
    <cellStyle name="Normal 143 49" xfId="8477"/>
    <cellStyle name="Normal 143 49 2" xfId="15558"/>
    <cellStyle name="Normal 143 49 3" xfId="20675"/>
    <cellStyle name="Normal 143 49 4" xfId="25718"/>
    <cellStyle name="Normal 143 49 5" xfId="30679"/>
    <cellStyle name="Normal 143 49 6" xfId="35537"/>
    <cellStyle name="Normal 143 49 7" xfId="40268"/>
    <cellStyle name="Normal 143 5" xfId="4427"/>
    <cellStyle name="Normal 143 5 2" xfId="5977"/>
    <cellStyle name="Normal 143 5 3" xfId="18079"/>
    <cellStyle name="Normal 143 5 4" xfId="23122"/>
    <cellStyle name="Normal 143 5 5" xfId="28083"/>
    <cellStyle name="Normal 143 5 6" xfId="32941"/>
    <cellStyle name="Normal 143 5 7" xfId="37672"/>
    <cellStyle name="Normal 143 50" xfId="8478"/>
    <cellStyle name="Normal 143 50 2" xfId="15559"/>
    <cellStyle name="Normal 143 50 3" xfId="20676"/>
    <cellStyle name="Normal 143 50 4" xfId="25719"/>
    <cellStyle name="Normal 143 50 5" xfId="30680"/>
    <cellStyle name="Normal 143 50 6" xfId="35538"/>
    <cellStyle name="Normal 143 50 7" xfId="40269"/>
    <cellStyle name="Normal 143 51" xfId="8402"/>
    <cellStyle name="Normal 143 51 2" xfId="15483"/>
    <cellStyle name="Normal 143 51 3" xfId="20600"/>
    <cellStyle name="Normal 143 51 4" xfId="25643"/>
    <cellStyle name="Normal 143 51 5" xfId="30604"/>
    <cellStyle name="Normal 143 51 6" xfId="35462"/>
    <cellStyle name="Normal 143 51 7" xfId="40193"/>
    <cellStyle name="Normal 143 52" xfId="8557"/>
    <cellStyle name="Normal 143 52 2" xfId="15638"/>
    <cellStyle name="Normal 143 52 3" xfId="20755"/>
    <cellStyle name="Normal 143 52 4" xfId="25798"/>
    <cellStyle name="Normal 143 52 5" xfId="30759"/>
    <cellStyle name="Normal 143 52 6" xfId="35617"/>
    <cellStyle name="Normal 143 52 7" xfId="40348"/>
    <cellStyle name="Normal 143 53" xfId="8718"/>
    <cellStyle name="Normal 143 53 2" xfId="15799"/>
    <cellStyle name="Normal 143 53 3" xfId="20916"/>
    <cellStyle name="Normal 143 53 4" xfId="25959"/>
    <cellStyle name="Normal 143 53 5" xfId="30920"/>
    <cellStyle name="Normal 143 53 6" xfId="35778"/>
    <cellStyle name="Normal 143 53 7" xfId="40509"/>
    <cellStyle name="Normal 143 54" xfId="8852"/>
    <cellStyle name="Normal 143 54 2" xfId="15933"/>
    <cellStyle name="Normal 143 54 3" xfId="21050"/>
    <cellStyle name="Normal 143 54 4" xfId="26093"/>
    <cellStyle name="Normal 143 54 5" xfId="31054"/>
    <cellStyle name="Normal 143 54 6" xfId="35912"/>
    <cellStyle name="Normal 143 54 7" xfId="40643"/>
    <cellStyle name="Normal 143 55" xfId="8470"/>
    <cellStyle name="Normal 143 55 2" xfId="15551"/>
    <cellStyle name="Normal 143 55 3" xfId="20668"/>
    <cellStyle name="Normal 143 55 4" xfId="25711"/>
    <cellStyle name="Normal 143 55 5" xfId="30672"/>
    <cellStyle name="Normal 143 55 6" xfId="35530"/>
    <cellStyle name="Normal 143 55 7" xfId="40261"/>
    <cellStyle name="Normal 143 56" xfId="8411"/>
    <cellStyle name="Normal 143 56 2" xfId="15492"/>
    <cellStyle name="Normal 143 56 3" xfId="20609"/>
    <cellStyle name="Normal 143 56 4" xfId="25652"/>
    <cellStyle name="Normal 143 56 5" xfId="30613"/>
    <cellStyle name="Normal 143 56 6" xfId="35471"/>
    <cellStyle name="Normal 143 56 7" xfId="40202"/>
    <cellStyle name="Normal 143 57" xfId="8757"/>
    <cellStyle name="Normal 143 57 2" xfId="15838"/>
    <cellStyle name="Normal 143 57 3" xfId="20955"/>
    <cellStyle name="Normal 143 57 4" xfId="25998"/>
    <cellStyle name="Normal 143 57 5" xfId="30959"/>
    <cellStyle name="Normal 143 57 6" xfId="35817"/>
    <cellStyle name="Normal 143 57 7" xfId="40548"/>
    <cellStyle name="Normal 143 58" xfId="8405"/>
    <cellStyle name="Normal 143 58 2" xfId="15486"/>
    <cellStyle name="Normal 143 58 3" xfId="20603"/>
    <cellStyle name="Normal 143 58 4" xfId="25646"/>
    <cellStyle name="Normal 143 58 5" xfId="30607"/>
    <cellStyle name="Normal 143 58 6" xfId="35465"/>
    <cellStyle name="Normal 143 58 7" xfId="40196"/>
    <cellStyle name="Normal 143 59" xfId="8671"/>
    <cellStyle name="Normal 143 59 2" xfId="15752"/>
    <cellStyle name="Normal 143 59 3" xfId="20869"/>
    <cellStyle name="Normal 143 59 4" xfId="25912"/>
    <cellStyle name="Normal 143 59 5" xfId="30873"/>
    <cellStyle name="Normal 143 59 6" xfId="35731"/>
    <cellStyle name="Normal 143 59 7" xfId="40462"/>
    <cellStyle name="Normal 143 6" xfId="4483"/>
    <cellStyle name="Normal 143 6 2" xfId="6133"/>
    <cellStyle name="Normal 143 6 3" xfId="18237"/>
    <cellStyle name="Normal 143 6 4" xfId="23280"/>
    <cellStyle name="Normal 143 6 5" xfId="28241"/>
    <cellStyle name="Normal 143 6 6" xfId="33099"/>
    <cellStyle name="Normal 143 6 7" xfId="37830"/>
    <cellStyle name="Normal 143 60" xfId="8429"/>
    <cellStyle name="Normal 143 60 2" xfId="15510"/>
    <cellStyle name="Normal 143 60 3" xfId="20627"/>
    <cellStyle name="Normal 143 60 4" xfId="25670"/>
    <cellStyle name="Normal 143 60 5" xfId="30631"/>
    <cellStyle name="Normal 143 60 6" xfId="35489"/>
    <cellStyle name="Normal 143 60 7" xfId="40220"/>
    <cellStyle name="Normal 143 61" xfId="8275"/>
    <cellStyle name="Normal 143 61 2" xfId="15356"/>
    <cellStyle name="Normal 143 61 3" xfId="20473"/>
    <cellStyle name="Normal 143 61 4" xfId="25516"/>
    <cellStyle name="Normal 143 61 5" xfId="30477"/>
    <cellStyle name="Normal 143 61 6" xfId="35335"/>
    <cellStyle name="Normal 143 61 7" xfId="40066"/>
    <cellStyle name="Normal 143 62" xfId="8559"/>
    <cellStyle name="Normal 143 62 2" xfId="15640"/>
    <cellStyle name="Normal 143 62 3" xfId="20757"/>
    <cellStyle name="Normal 143 62 4" xfId="25800"/>
    <cellStyle name="Normal 143 62 5" xfId="30761"/>
    <cellStyle name="Normal 143 62 6" xfId="35619"/>
    <cellStyle name="Normal 143 62 7" xfId="40350"/>
    <cellStyle name="Normal 143 63" xfId="9489"/>
    <cellStyle name="Normal 143 63 2" xfId="16570"/>
    <cellStyle name="Normal 143 63 3" xfId="21687"/>
    <cellStyle name="Normal 143 63 4" xfId="26730"/>
    <cellStyle name="Normal 143 63 5" xfId="31691"/>
    <cellStyle name="Normal 143 63 6" xfId="36549"/>
    <cellStyle name="Normal 143 63 7" xfId="41280"/>
    <cellStyle name="Normal 143 64" xfId="9258"/>
    <cellStyle name="Normal 143 64 2" xfId="16339"/>
    <cellStyle name="Normal 143 64 3" xfId="21456"/>
    <cellStyle name="Normal 143 64 4" xfId="26499"/>
    <cellStyle name="Normal 143 64 5" xfId="31460"/>
    <cellStyle name="Normal 143 64 6" xfId="36318"/>
    <cellStyle name="Normal 143 64 7" xfId="41049"/>
    <cellStyle name="Normal 143 65" xfId="9260"/>
    <cellStyle name="Normal 143 65 2" xfId="16341"/>
    <cellStyle name="Normal 143 65 3" xfId="21458"/>
    <cellStyle name="Normal 143 65 4" xfId="26501"/>
    <cellStyle name="Normal 143 65 5" xfId="31462"/>
    <cellStyle name="Normal 143 65 6" xfId="36320"/>
    <cellStyle name="Normal 143 65 7" xfId="41051"/>
    <cellStyle name="Normal 143 66" xfId="9203"/>
    <cellStyle name="Normal 143 66 2" xfId="16284"/>
    <cellStyle name="Normal 143 66 3" xfId="21401"/>
    <cellStyle name="Normal 143 66 4" xfId="26444"/>
    <cellStyle name="Normal 143 66 5" xfId="31405"/>
    <cellStyle name="Normal 143 66 6" xfId="36263"/>
    <cellStyle name="Normal 143 66 7" xfId="40994"/>
    <cellStyle name="Normal 143 67" xfId="9329"/>
    <cellStyle name="Normal 143 67 2" xfId="16410"/>
    <cellStyle name="Normal 143 67 3" xfId="21527"/>
    <cellStyle name="Normal 143 67 4" xfId="26570"/>
    <cellStyle name="Normal 143 67 5" xfId="31531"/>
    <cellStyle name="Normal 143 67 6" xfId="36389"/>
    <cellStyle name="Normal 143 67 7" xfId="41120"/>
    <cellStyle name="Normal 143 68" xfId="9462"/>
    <cellStyle name="Normal 143 68 2" xfId="16543"/>
    <cellStyle name="Normal 143 68 3" xfId="21660"/>
    <cellStyle name="Normal 143 68 4" xfId="26703"/>
    <cellStyle name="Normal 143 68 5" xfId="31664"/>
    <cellStyle name="Normal 143 68 6" xfId="36522"/>
    <cellStyle name="Normal 143 68 7" xfId="41253"/>
    <cellStyle name="Normal 143 69" xfId="9568"/>
    <cellStyle name="Normal 143 69 2" xfId="16649"/>
    <cellStyle name="Normal 143 69 3" xfId="21766"/>
    <cellStyle name="Normal 143 69 4" xfId="26809"/>
    <cellStyle name="Normal 143 69 5" xfId="31770"/>
    <cellStyle name="Normal 143 69 6" xfId="36628"/>
    <cellStyle name="Normal 143 69 7" xfId="41359"/>
    <cellStyle name="Normal 143 7" xfId="4610"/>
    <cellStyle name="Normal 143 7 2" xfId="6302"/>
    <cellStyle name="Normal 143 7 3" xfId="18409"/>
    <cellStyle name="Normal 143 7 4" xfId="23452"/>
    <cellStyle name="Normal 143 7 5" xfId="28413"/>
    <cellStyle name="Normal 143 7 6" xfId="33271"/>
    <cellStyle name="Normal 143 7 7" xfId="38002"/>
    <cellStyle name="Normal 143 70" xfId="9190"/>
    <cellStyle name="Normal 143 70 2" xfId="16271"/>
    <cellStyle name="Normal 143 70 3" xfId="21388"/>
    <cellStyle name="Normal 143 70 4" xfId="26431"/>
    <cellStyle name="Normal 143 70 5" xfId="31392"/>
    <cellStyle name="Normal 143 70 6" xfId="36250"/>
    <cellStyle name="Normal 143 70 7" xfId="40981"/>
    <cellStyle name="Normal 143 71" xfId="9508"/>
    <cellStyle name="Normal 143 71 2" xfId="16589"/>
    <cellStyle name="Normal 143 71 3" xfId="21706"/>
    <cellStyle name="Normal 143 71 4" xfId="26749"/>
    <cellStyle name="Normal 143 71 5" xfId="31710"/>
    <cellStyle name="Normal 143 71 6" xfId="36568"/>
    <cellStyle name="Normal 143 71 7" xfId="41299"/>
    <cellStyle name="Normal 143 72" xfId="9309"/>
    <cellStyle name="Normal 143 72 2" xfId="16390"/>
    <cellStyle name="Normal 143 72 3" xfId="21507"/>
    <cellStyle name="Normal 143 72 4" xfId="26550"/>
    <cellStyle name="Normal 143 72 5" xfId="31511"/>
    <cellStyle name="Normal 143 72 6" xfId="36369"/>
    <cellStyle name="Normal 143 72 7" xfId="41100"/>
    <cellStyle name="Normal 143 73" xfId="9352"/>
    <cellStyle name="Normal 143 73 2" xfId="16433"/>
    <cellStyle name="Normal 143 73 3" xfId="21550"/>
    <cellStyle name="Normal 143 73 4" xfId="26593"/>
    <cellStyle name="Normal 143 73 5" xfId="31554"/>
    <cellStyle name="Normal 143 73 6" xfId="36412"/>
    <cellStyle name="Normal 143 73 7" xfId="41143"/>
    <cellStyle name="Normal 143 74" xfId="9343"/>
    <cellStyle name="Normal 143 74 2" xfId="16424"/>
    <cellStyle name="Normal 143 74 3" xfId="21541"/>
    <cellStyle name="Normal 143 74 4" xfId="26584"/>
    <cellStyle name="Normal 143 74 5" xfId="31545"/>
    <cellStyle name="Normal 143 74 6" xfId="36403"/>
    <cellStyle name="Normal 143 74 7" xfId="41134"/>
    <cellStyle name="Normal 143 75" xfId="9947"/>
    <cellStyle name="Normal 143 75 2" xfId="17028"/>
    <cellStyle name="Normal 143 75 3" xfId="22145"/>
    <cellStyle name="Normal 143 75 4" xfId="27188"/>
    <cellStyle name="Normal 143 75 5" xfId="32149"/>
    <cellStyle name="Normal 143 75 6" xfId="37007"/>
    <cellStyle name="Normal 143 75 7" xfId="41738"/>
    <cellStyle name="Normal 143 76" xfId="9817"/>
    <cellStyle name="Normal 143 76 2" xfId="16898"/>
    <cellStyle name="Normal 143 76 3" xfId="22015"/>
    <cellStyle name="Normal 143 76 4" xfId="27058"/>
    <cellStyle name="Normal 143 76 5" xfId="32019"/>
    <cellStyle name="Normal 143 76 6" xfId="36877"/>
    <cellStyle name="Normal 143 76 7" xfId="41608"/>
    <cellStyle name="Normal 143 77" xfId="9818"/>
    <cellStyle name="Normal 143 77 2" xfId="16899"/>
    <cellStyle name="Normal 143 77 3" xfId="22016"/>
    <cellStyle name="Normal 143 77 4" xfId="27059"/>
    <cellStyle name="Normal 143 77 5" xfId="32020"/>
    <cellStyle name="Normal 143 77 6" xfId="36878"/>
    <cellStyle name="Normal 143 77 7" xfId="41609"/>
    <cellStyle name="Normal 143 78" xfId="9787"/>
    <cellStyle name="Normal 143 78 2" xfId="16868"/>
    <cellStyle name="Normal 143 78 3" xfId="21985"/>
    <cellStyle name="Normal 143 78 4" xfId="27028"/>
    <cellStyle name="Normal 143 78 5" xfId="31989"/>
    <cellStyle name="Normal 143 78 6" xfId="36847"/>
    <cellStyle name="Normal 143 78 7" xfId="41578"/>
    <cellStyle name="Normal 143 79" xfId="9852"/>
    <cellStyle name="Normal 143 79 2" xfId="16933"/>
    <cellStyle name="Normal 143 79 3" xfId="22050"/>
    <cellStyle name="Normal 143 79 4" xfId="27093"/>
    <cellStyle name="Normal 143 79 5" xfId="32054"/>
    <cellStyle name="Normal 143 79 6" xfId="36912"/>
    <cellStyle name="Normal 143 79 7" xfId="41643"/>
    <cellStyle name="Normal 143 8" xfId="4537"/>
    <cellStyle name="Normal 143 8 2" xfId="6447"/>
    <cellStyle name="Normal 143 8 3" xfId="18557"/>
    <cellStyle name="Normal 143 8 4" xfId="23600"/>
    <cellStyle name="Normal 143 8 5" xfId="28561"/>
    <cellStyle name="Normal 143 8 6" xfId="33419"/>
    <cellStyle name="Normal 143 8 7" xfId="38150"/>
    <cellStyle name="Normal 143 80" xfId="9931"/>
    <cellStyle name="Normal 143 80 2" xfId="17012"/>
    <cellStyle name="Normal 143 80 3" xfId="22129"/>
    <cellStyle name="Normal 143 80 4" xfId="27172"/>
    <cellStyle name="Normal 143 80 5" xfId="32133"/>
    <cellStyle name="Normal 143 80 6" xfId="36991"/>
    <cellStyle name="Normal 143 80 7" xfId="41722"/>
    <cellStyle name="Normal 143 81" xfId="10277"/>
    <cellStyle name="Normal 143 81 2" xfId="17358"/>
    <cellStyle name="Normal 143 81 3" xfId="22475"/>
    <cellStyle name="Normal 143 81 4" xfId="27518"/>
    <cellStyle name="Normal 143 81 5" xfId="32479"/>
    <cellStyle name="Normal 143 81 6" xfId="37337"/>
    <cellStyle name="Normal 143 81 7" xfId="42068"/>
    <cellStyle name="Normal 143 82" xfId="10147"/>
    <cellStyle name="Normal 143 82 2" xfId="17228"/>
    <cellStyle name="Normal 143 82 3" xfId="22345"/>
    <cellStyle name="Normal 143 82 4" xfId="27388"/>
    <cellStyle name="Normal 143 82 5" xfId="32349"/>
    <cellStyle name="Normal 143 82 6" xfId="37207"/>
    <cellStyle name="Normal 143 82 7" xfId="41938"/>
    <cellStyle name="Normal 143 83" xfId="10148"/>
    <cellStyle name="Normal 143 83 2" xfId="17229"/>
    <cellStyle name="Normal 143 83 3" xfId="22346"/>
    <cellStyle name="Normal 143 83 4" xfId="27389"/>
    <cellStyle name="Normal 143 83 5" xfId="32350"/>
    <cellStyle name="Normal 143 83 6" xfId="37208"/>
    <cellStyle name="Normal 143 83 7" xfId="41939"/>
    <cellStyle name="Normal 143 84" xfId="10117"/>
    <cellStyle name="Normal 143 84 2" xfId="17198"/>
    <cellStyle name="Normal 143 84 3" xfId="22315"/>
    <cellStyle name="Normal 143 84 4" xfId="27358"/>
    <cellStyle name="Normal 143 84 5" xfId="32319"/>
    <cellStyle name="Normal 143 84 6" xfId="37177"/>
    <cellStyle name="Normal 143 84 7" xfId="41908"/>
    <cellStyle name="Normal 143 85" xfId="10182"/>
    <cellStyle name="Normal 143 85 2" xfId="17263"/>
    <cellStyle name="Normal 143 85 3" xfId="22380"/>
    <cellStyle name="Normal 143 85 4" xfId="27423"/>
    <cellStyle name="Normal 143 85 5" xfId="32384"/>
    <cellStyle name="Normal 143 85 6" xfId="37242"/>
    <cellStyle name="Normal 143 85 7" xfId="41973"/>
    <cellStyle name="Normal 143 86" xfId="10261"/>
    <cellStyle name="Normal 143 86 2" xfId="17342"/>
    <cellStyle name="Normal 143 86 3" xfId="22459"/>
    <cellStyle name="Normal 143 86 4" xfId="27502"/>
    <cellStyle name="Normal 143 86 5" xfId="32463"/>
    <cellStyle name="Normal 143 86 6" xfId="37321"/>
    <cellStyle name="Normal 143 86 7" xfId="42052"/>
    <cellStyle name="Normal 143 87" xfId="13574"/>
    <cellStyle name="Normal 143 88" xfId="12530"/>
    <cellStyle name="Normal 143 89" xfId="12193"/>
    <cellStyle name="Normal 143 9" xfId="4592"/>
    <cellStyle name="Normal 143 9 2" xfId="5961"/>
    <cellStyle name="Normal 143 9 3" xfId="18063"/>
    <cellStyle name="Normal 143 9 4" xfId="23106"/>
    <cellStyle name="Normal 143 9 5" xfId="28067"/>
    <cellStyle name="Normal 143 9 6" xfId="32925"/>
    <cellStyle name="Normal 143 9 7" xfId="37656"/>
    <cellStyle name="Normal 143 90" xfId="12286"/>
    <cellStyle name="Normal 143 91" xfId="13666"/>
    <cellStyle name="Normal 143 92" xfId="13653"/>
    <cellStyle name="Normal 144" xfId="2429"/>
    <cellStyle name="Normal 144 10" xfId="4686"/>
    <cellStyle name="Normal 144 10 2" xfId="5828"/>
    <cellStyle name="Normal 144 10 3" xfId="17927"/>
    <cellStyle name="Normal 144 10 4" xfId="22970"/>
    <cellStyle name="Normal 144 10 5" xfId="27931"/>
    <cellStyle name="Normal 144 10 6" xfId="32789"/>
    <cellStyle name="Normal 144 10 7" xfId="37520"/>
    <cellStyle name="Normal 144 11" xfId="4723"/>
    <cellStyle name="Normal 144 11 2" xfId="6483"/>
    <cellStyle name="Normal 144 11 3" xfId="18593"/>
    <cellStyle name="Normal 144 11 4" xfId="23636"/>
    <cellStyle name="Normal 144 11 5" xfId="28597"/>
    <cellStyle name="Normal 144 11 6" xfId="33455"/>
    <cellStyle name="Normal 144 11 7" xfId="38186"/>
    <cellStyle name="Normal 144 12" xfId="4841"/>
    <cellStyle name="Normal 144 12 2" xfId="6492"/>
    <cellStyle name="Normal 144 12 3" xfId="18610"/>
    <cellStyle name="Normal 144 12 4" xfId="23653"/>
    <cellStyle name="Normal 144 12 5" xfId="28614"/>
    <cellStyle name="Normal 144 12 6" xfId="33472"/>
    <cellStyle name="Normal 144 12 7" xfId="38203"/>
    <cellStyle name="Normal 144 13" xfId="4895"/>
    <cellStyle name="Normal 144 13 2" xfId="6508"/>
    <cellStyle name="Normal 144 13 3" xfId="18626"/>
    <cellStyle name="Normal 144 13 4" xfId="23669"/>
    <cellStyle name="Normal 144 13 5" xfId="28630"/>
    <cellStyle name="Normal 144 13 6" xfId="33488"/>
    <cellStyle name="Normal 144 13 7" xfId="38219"/>
    <cellStyle name="Normal 144 14" xfId="4824"/>
    <cellStyle name="Normal 144 14 2" xfId="6523"/>
    <cellStyle name="Normal 144 14 3" xfId="18641"/>
    <cellStyle name="Normal 144 14 4" xfId="23684"/>
    <cellStyle name="Normal 144 14 5" xfId="28645"/>
    <cellStyle name="Normal 144 14 6" xfId="33503"/>
    <cellStyle name="Normal 144 14 7" xfId="38234"/>
    <cellStyle name="Normal 144 15" xfId="4908"/>
    <cellStyle name="Normal 144 15 2" xfId="6537"/>
    <cellStyle name="Normal 144 15 3" xfId="18655"/>
    <cellStyle name="Normal 144 15 4" xfId="23698"/>
    <cellStyle name="Normal 144 15 5" xfId="28659"/>
    <cellStyle name="Normal 144 15 6" xfId="33517"/>
    <cellStyle name="Normal 144 15 7" xfId="38248"/>
    <cellStyle name="Normal 144 16" xfId="5064"/>
    <cellStyle name="Normal 144 16 2" xfId="6550"/>
    <cellStyle name="Normal 144 16 3" xfId="18668"/>
    <cellStyle name="Normal 144 16 4" xfId="23711"/>
    <cellStyle name="Normal 144 16 5" xfId="28672"/>
    <cellStyle name="Normal 144 16 6" xfId="33530"/>
    <cellStyle name="Normal 144 16 7" xfId="38261"/>
    <cellStyle name="Normal 144 17" xfId="5115"/>
    <cellStyle name="Normal 144 17 2" xfId="6562"/>
    <cellStyle name="Normal 144 17 3" xfId="18680"/>
    <cellStyle name="Normal 144 17 4" xfId="23723"/>
    <cellStyle name="Normal 144 17 5" xfId="28684"/>
    <cellStyle name="Normal 144 17 6" xfId="33542"/>
    <cellStyle name="Normal 144 17 7" xfId="38273"/>
    <cellStyle name="Normal 144 18" xfId="5044"/>
    <cellStyle name="Normal 144 18 2" xfId="6760"/>
    <cellStyle name="Normal 144 18 3" xfId="18881"/>
    <cellStyle name="Normal 144 18 4" xfId="23924"/>
    <cellStyle name="Normal 144 18 5" xfId="28885"/>
    <cellStyle name="Normal 144 18 6" xfId="33743"/>
    <cellStyle name="Normal 144 18 7" xfId="38474"/>
    <cellStyle name="Normal 144 19" xfId="4982"/>
    <cellStyle name="Normal 144 19 2" xfId="6812"/>
    <cellStyle name="Normal 144 19 3" xfId="18933"/>
    <cellStyle name="Normal 144 19 4" xfId="23976"/>
    <cellStyle name="Normal 144 19 5" xfId="28937"/>
    <cellStyle name="Normal 144 19 6" xfId="33795"/>
    <cellStyle name="Normal 144 19 7" xfId="38526"/>
    <cellStyle name="Normal 144 2" xfId="4284"/>
    <cellStyle name="Normal 144 2 2" xfId="6194"/>
    <cellStyle name="Normal 144 2 3" xfId="18298"/>
    <cellStyle name="Normal 144 2 4" xfId="23341"/>
    <cellStyle name="Normal 144 2 5" xfId="28302"/>
    <cellStyle name="Normal 144 2 6" xfId="33160"/>
    <cellStyle name="Normal 144 2 7" xfId="37891"/>
    <cellStyle name="Normal 144 20" xfId="5416"/>
    <cellStyle name="Normal 144 20 2" xfId="6739"/>
    <cellStyle name="Normal 144 20 3" xfId="18860"/>
    <cellStyle name="Normal 144 20 4" xfId="23903"/>
    <cellStyle name="Normal 144 20 5" xfId="28864"/>
    <cellStyle name="Normal 144 20 6" xfId="33722"/>
    <cellStyle name="Normal 144 20 7" xfId="38453"/>
    <cellStyle name="Normal 144 21" xfId="5515"/>
    <cellStyle name="Normal 144 21 2" xfId="6823"/>
    <cellStyle name="Normal 144 21 3" xfId="18944"/>
    <cellStyle name="Normal 144 21 4" xfId="23987"/>
    <cellStyle name="Normal 144 21 5" xfId="28948"/>
    <cellStyle name="Normal 144 21 6" xfId="33806"/>
    <cellStyle name="Normal 144 21 7" xfId="38537"/>
    <cellStyle name="Normal 144 22" xfId="5371"/>
    <cellStyle name="Normal 144 22 2" xfId="7161"/>
    <cellStyle name="Normal 144 22 3" xfId="19316"/>
    <cellStyle name="Normal 144 22 4" xfId="24359"/>
    <cellStyle name="Normal 144 22 5" xfId="29320"/>
    <cellStyle name="Normal 144 22 6" xfId="34178"/>
    <cellStyle name="Normal 144 22 7" xfId="38909"/>
    <cellStyle name="Normal 144 23" xfId="5553"/>
    <cellStyle name="Normal 144 23 2" xfId="7263"/>
    <cellStyle name="Normal 144 23 3" xfId="19427"/>
    <cellStyle name="Normal 144 23 4" xfId="24470"/>
    <cellStyle name="Normal 144 23 5" xfId="29431"/>
    <cellStyle name="Normal 144 23 6" xfId="34289"/>
    <cellStyle name="Normal 144 23 7" xfId="39020"/>
    <cellStyle name="Normal 144 24" xfId="5228"/>
    <cellStyle name="Normal 144 24 2" xfId="7101"/>
    <cellStyle name="Normal 144 24 3" xfId="19247"/>
    <cellStyle name="Normal 144 24 4" xfId="24290"/>
    <cellStyle name="Normal 144 24 5" xfId="29251"/>
    <cellStyle name="Normal 144 24 6" xfId="34109"/>
    <cellStyle name="Normal 144 24 7" xfId="38840"/>
    <cellStyle name="Normal 144 25" xfId="5446"/>
    <cellStyle name="Normal 144 25 2" xfId="7307"/>
    <cellStyle name="Normal 144 25 3" xfId="19477"/>
    <cellStyle name="Normal 144 25 4" xfId="24520"/>
    <cellStyle name="Normal 144 25 5" xfId="29481"/>
    <cellStyle name="Normal 144 25 6" xfId="34339"/>
    <cellStyle name="Normal 144 25 7" xfId="39070"/>
    <cellStyle name="Normal 144 26" xfId="5550"/>
    <cellStyle name="Normal 144 26 2" xfId="6927"/>
    <cellStyle name="Normal 144 26 3" xfId="19055"/>
    <cellStyle name="Normal 144 26 4" xfId="24098"/>
    <cellStyle name="Normal 144 26 5" xfId="29059"/>
    <cellStyle name="Normal 144 26 6" xfId="33917"/>
    <cellStyle name="Normal 144 26 7" xfId="38648"/>
    <cellStyle name="Normal 144 27" xfId="5300"/>
    <cellStyle name="Normal 144 27 2" xfId="7049"/>
    <cellStyle name="Normal 144 27 3" xfId="19191"/>
    <cellStyle name="Normal 144 27 4" xfId="24234"/>
    <cellStyle name="Normal 144 27 5" xfId="29195"/>
    <cellStyle name="Normal 144 27 6" xfId="34053"/>
    <cellStyle name="Normal 144 27 7" xfId="38784"/>
    <cellStyle name="Normal 144 28" xfId="5298"/>
    <cellStyle name="Normal 144 28 2" xfId="7090"/>
    <cellStyle name="Normal 144 28 3" xfId="19235"/>
    <cellStyle name="Normal 144 28 4" xfId="24278"/>
    <cellStyle name="Normal 144 28 5" xfId="29239"/>
    <cellStyle name="Normal 144 28 6" xfId="34097"/>
    <cellStyle name="Normal 144 28 7" xfId="38828"/>
    <cellStyle name="Normal 144 29" xfId="5772"/>
    <cellStyle name="Normal 144 29 2" xfId="14293"/>
    <cellStyle name="Normal 144 29 3" xfId="19134"/>
    <cellStyle name="Normal 144 29 4" xfId="24177"/>
    <cellStyle name="Normal 144 29 5" xfId="29138"/>
    <cellStyle name="Normal 144 29 6" xfId="33996"/>
    <cellStyle name="Normal 144 29 7" xfId="38727"/>
    <cellStyle name="Normal 144 3" xfId="4319"/>
    <cellStyle name="Normal 144 3 2" xfId="6337"/>
    <cellStyle name="Normal 144 3 3" xfId="18445"/>
    <cellStyle name="Normal 144 3 4" xfId="23488"/>
    <cellStyle name="Normal 144 3 5" xfId="28449"/>
    <cellStyle name="Normal 144 3 6" xfId="33307"/>
    <cellStyle name="Normal 144 3 7" xfId="38038"/>
    <cellStyle name="Normal 144 30" xfId="6902"/>
    <cellStyle name="Normal 144 30 2" xfId="14234"/>
    <cellStyle name="Normal 144 30 3" xfId="19026"/>
    <cellStyle name="Normal 144 30 4" xfId="24069"/>
    <cellStyle name="Normal 144 30 5" xfId="29030"/>
    <cellStyle name="Normal 144 30 6" xfId="33888"/>
    <cellStyle name="Normal 144 30 7" xfId="38619"/>
    <cellStyle name="Normal 144 31" xfId="7360"/>
    <cellStyle name="Normal 144 31 2" xfId="14475"/>
    <cellStyle name="Normal 144 31 3" xfId="19533"/>
    <cellStyle name="Normal 144 31 4" xfId="24576"/>
    <cellStyle name="Normal 144 31 5" xfId="29537"/>
    <cellStyle name="Normal 144 31 6" xfId="34395"/>
    <cellStyle name="Normal 144 31 7" xfId="39126"/>
    <cellStyle name="Normal 144 32" xfId="7377"/>
    <cellStyle name="Normal 144 32 2" xfId="14480"/>
    <cellStyle name="Normal 144 32 3" xfId="19550"/>
    <cellStyle name="Normal 144 32 4" xfId="24593"/>
    <cellStyle name="Normal 144 32 5" xfId="29554"/>
    <cellStyle name="Normal 144 32 6" xfId="34412"/>
    <cellStyle name="Normal 144 32 7" xfId="39143"/>
    <cellStyle name="Normal 144 33" xfId="7389"/>
    <cellStyle name="Normal 144 33 2" xfId="14482"/>
    <cellStyle name="Normal 144 33 3" xfId="19562"/>
    <cellStyle name="Normal 144 33 4" xfId="24605"/>
    <cellStyle name="Normal 144 33 5" xfId="29566"/>
    <cellStyle name="Normal 144 33 6" xfId="34424"/>
    <cellStyle name="Normal 144 33 7" xfId="39155"/>
    <cellStyle name="Normal 144 34" xfId="7822"/>
    <cellStyle name="Normal 144 34 2" xfId="14902"/>
    <cellStyle name="Normal 144 34 3" xfId="20019"/>
    <cellStyle name="Normal 144 34 4" xfId="25062"/>
    <cellStyle name="Normal 144 34 5" xfId="30023"/>
    <cellStyle name="Normal 144 34 6" xfId="34881"/>
    <cellStyle name="Normal 144 34 7" xfId="39612"/>
    <cellStyle name="Normal 144 35" xfId="7949"/>
    <cellStyle name="Normal 144 35 2" xfId="15029"/>
    <cellStyle name="Normal 144 35 3" xfId="20146"/>
    <cellStyle name="Normal 144 35 4" xfId="25189"/>
    <cellStyle name="Normal 144 35 5" xfId="30150"/>
    <cellStyle name="Normal 144 35 6" xfId="35008"/>
    <cellStyle name="Normal 144 35 7" xfId="39739"/>
    <cellStyle name="Normal 144 36" xfId="7744"/>
    <cellStyle name="Normal 144 36 2" xfId="14824"/>
    <cellStyle name="Normal 144 36 3" xfId="19941"/>
    <cellStyle name="Normal 144 36 4" xfId="24984"/>
    <cellStyle name="Normal 144 36 5" xfId="29945"/>
    <cellStyle name="Normal 144 36 6" xfId="34803"/>
    <cellStyle name="Normal 144 36 7" xfId="39534"/>
    <cellStyle name="Normal 144 37" xfId="8014"/>
    <cellStyle name="Normal 144 37 2" xfId="15094"/>
    <cellStyle name="Normal 144 37 3" xfId="20211"/>
    <cellStyle name="Normal 144 37 4" xfId="25254"/>
    <cellStyle name="Normal 144 37 5" xfId="30215"/>
    <cellStyle name="Normal 144 37 6" xfId="35073"/>
    <cellStyle name="Normal 144 37 7" xfId="39804"/>
    <cellStyle name="Normal 144 38" xfId="7526"/>
    <cellStyle name="Normal 144 38 2" xfId="14604"/>
    <cellStyle name="Normal 144 38 3" xfId="19721"/>
    <cellStyle name="Normal 144 38 4" xfId="24764"/>
    <cellStyle name="Normal 144 38 5" xfId="29725"/>
    <cellStyle name="Normal 144 38 6" xfId="34583"/>
    <cellStyle name="Normal 144 38 7" xfId="39314"/>
    <cellStyle name="Normal 144 39" xfId="7681"/>
    <cellStyle name="Normal 144 39 2" xfId="14761"/>
    <cellStyle name="Normal 144 39 3" xfId="19878"/>
    <cellStyle name="Normal 144 39 4" xfId="24921"/>
    <cellStyle name="Normal 144 39 5" xfId="29882"/>
    <cellStyle name="Normal 144 39 6" xfId="34740"/>
    <cellStyle name="Normal 144 39 7" xfId="39471"/>
    <cellStyle name="Normal 144 4" xfId="4282"/>
    <cellStyle name="Normal 144 4 2" xfId="6106"/>
    <cellStyle name="Normal 144 4 3" xfId="18210"/>
    <cellStyle name="Normal 144 4 4" xfId="23253"/>
    <cellStyle name="Normal 144 4 5" xfId="28214"/>
    <cellStyle name="Normal 144 4 6" xfId="33072"/>
    <cellStyle name="Normal 144 4 7" xfId="37803"/>
    <cellStyle name="Normal 144 40" xfId="7732"/>
    <cellStyle name="Normal 144 40 2" xfId="14812"/>
    <cellStyle name="Normal 144 40 3" xfId="19929"/>
    <cellStyle name="Normal 144 40 4" xfId="24972"/>
    <cellStyle name="Normal 144 40 5" xfId="29933"/>
    <cellStyle name="Normal 144 40 6" xfId="34791"/>
    <cellStyle name="Normal 144 40 7" xfId="39522"/>
    <cellStyle name="Normal 144 41" xfId="7619"/>
    <cellStyle name="Normal 144 41 2" xfId="14699"/>
    <cellStyle name="Normal 144 41 3" xfId="19816"/>
    <cellStyle name="Normal 144 41 4" xfId="24859"/>
    <cellStyle name="Normal 144 41 5" xfId="29820"/>
    <cellStyle name="Normal 144 41 6" xfId="34678"/>
    <cellStyle name="Normal 144 41 7" xfId="39409"/>
    <cellStyle name="Normal 144 42" xfId="7494"/>
    <cellStyle name="Normal 144 42 2" xfId="14570"/>
    <cellStyle name="Normal 144 42 3" xfId="19687"/>
    <cellStyle name="Normal 144 42 4" xfId="24730"/>
    <cellStyle name="Normal 144 42 5" xfId="29691"/>
    <cellStyle name="Normal 144 42 6" xfId="34549"/>
    <cellStyle name="Normal 144 42 7" xfId="39280"/>
    <cellStyle name="Normal 144 43" xfId="8082"/>
    <cellStyle name="Normal 144 43 2" xfId="15162"/>
    <cellStyle name="Normal 144 43 3" xfId="20279"/>
    <cellStyle name="Normal 144 43 4" xfId="25322"/>
    <cellStyle name="Normal 144 43 5" xfId="30283"/>
    <cellStyle name="Normal 144 43 6" xfId="35141"/>
    <cellStyle name="Normal 144 43 7" xfId="39872"/>
    <cellStyle name="Normal 144 44" xfId="8099"/>
    <cellStyle name="Normal 144 44 2" xfId="15179"/>
    <cellStyle name="Normal 144 44 3" xfId="20296"/>
    <cellStyle name="Normal 144 44 4" xfId="25339"/>
    <cellStyle name="Normal 144 44 5" xfId="30300"/>
    <cellStyle name="Normal 144 44 6" xfId="35158"/>
    <cellStyle name="Normal 144 44 7" xfId="39889"/>
    <cellStyle name="Normal 144 45" xfId="8113"/>
    <cellStyle name="Normal 144 45 2" xfId="15193"/>
    <cellStyle name="Normal 144 45 3" xfId="20310"/>
    <cellStyle name="Normal 144 45 4" xfId="25353"/>
    <cellStyle name="Normal 144 45 5" xfId="30314"/>
    <cellStyle name="Normal 144 45 6" xfId="35172"/>
    <cellStyle name="Normal 144 45 7" xfId="39903"/>
    <cellStyle name="Normal 144 46" xfId="8126"/>
    <cellStyle name="Normal 144 46 2" xfId="15206"/>
    <cellStyle name="Normal 144 46 3" xfId="20323"/>
    <cellStyle name="Normal 144 46 4" xfId="25366"/>
    <cellStyle name="Normal 144 46 5" xfId="30327"/>
    <cellStyle name="Normal 144 46 6" xfId="35185"/>
    <cellStyle name="Normal 144 46 7" xfId="39916"/>
    <cellStyle name="Normal 144 47" xfId="8138"/>
    <cellStyle name="Normal 144 47 2" xfId="15218"/>
    <cellStyle name="Normal 144 47 3" xfId="20335"/>
    <cellStyle name="Normal 144 47 4" xfId="25378"/>
    <cellStyle name="Normal 144 47 5" xfId="30339"/>
    <cellStyle name="Normal 144 47 6" xfId="35197"/>
    <cellStyle name="Normal 144 47 7" xfId="39928"/>
    <cellStyle name="Normal 144 48" xfId="8612"/>
    <cellStyle name="Normal 144 48 2" xfId="15693"/>
    <cellStyle name="Normal 144 48 3" xfId="20810"/>
    <cellStyle name="Normal 144 48 4" xfId="25853"/>
    <cellStyle name="Normal 144 48 5" xfId="30814"/>
    <cellStyle name="Normal 144 48 6" xfId="35672"/>
    <cellStyle name="Normal 144 48 7" xfId="40403"/>
    <cellStyle name="Normal 144 49" xfId="8749"/>
    <cellStyle name="Normal 144 49 2" xfId="15830"/>
    <cellStyle name="Normal 144 49 3" xfId="20947"/>
    <cellStyle name="Normal 144 49 4" xfId="25990"/>
    <cellStyle name="Normal 144 49 5" xfId="30951"/>
    <cellStyle name="Normal 144 49 6" xfId="35809"/>
    <cellStyle name="Normal 144 49 7" xfId="40540"/>
    <cellStyle name="Normal 144 5" xfId="4404"/>
    <cellStyle name="Normal 144 5 2" xfId="6405"/>
    <cellStyle name="Normal 144 5 3" xfId="18515"/>
    <cellStyle name="Normal 144 5 4" xfId="23558"/>
    <cellStyle name="Normal 144 5 5" xfId="28519"/>
    <cellStyle name="Normal 144 5 6" xfId="33377"/>
    <cellStyle name="Normal 144 5 7" xfId="38108"/>
    <cellStyle name="Normal 144 50" xfId="8532"/>
    <cellStyle name="Normal 144 50 2" xfId="15613"/>
    <cellStyle name="Normal 144 50 3" xfId="20730"/>
    <cellStyle name="Normal 144 50 4" xfId="25773"/>
    <cellStyle name="Normal 144 50 5" xfId="30734"/>
    <cellStyle name="Normal 144 50 6" xfId="35592"/>
    <cellStyle name="Normal 144 50 7" xfId="40323"/>
    <cellStyle name="Normal 144 51" xfId="8816"/>
    <cellStyle name="Normal 144 51 2" xfId="15897"/>
    <cellStyle name="Normal 144 51 3" xfId="21014"/>
    <cellStyle name="Normal 144 51 4" xfId="26057"/>
    <cellStyle name="Normal 144 51 5" xfId="31018"/>
    <cellStyle name="Normal 144 51 6" xfId="35876"/>
    <cellStyle name="Normal 144 51 7" xfId="40607"/>
    <cellStyle name="Normal 144 52" xfId="8308"/>
    <cellStyle name="Normal 144 52 2" xfId="15389"/>
    <cellStyle name="Normal 144 52 3" xfId="20506"/>
    <cellStyle name="Normal 144 52 4" xfId="25549"/>
    <cellStyle name="Normal 144 52 5" xfId="30510"/>
    <cellStyle name="Normal 144 52 6" xfId="35368"/>
    <cellStyle name="Normal 144 52 7" xfId="40099"/>
    <cellStyle name="Normal 144 53" xfId="8461"/>
    <cellStyle name="Normal 144 53 2" xfId="15542"/>
    <cellStyle name="Normal 144 53 3" xfId="20659"/>
    <cellStyle name="Normal 144 53 4" xfId="25702"/>
    <cellStyle name="Normal 144 53 5" xfId="30663"/>
    <cellStyle name="Normal 144 53 6" xfId="35521"/>
    <cellStyle name="Normal 144 53 7" xfId="40252"/>
    <cellStyle name="Normal 144 54" xfId="8515"/>
    <cellStyle name="Normal 144 54 2" xfId="15596"/>
    <cellStyle name="Normal 144 54 3" xfId="20713"/>
    <cellStyle name="Normal 144 54 4" xfId="25756"/>
    <cellStyle name="Normal 144 54 5" xfId="30717"/>
    <cellStyle name="Normal 144 54 6" xfId="35575"/>
    <cellStyle name="Normal 144 54 7" xfId="40306"/>
    <cellStyle name="Normal 144 55" xfId="8602"/>
    <cellStyle name="Normal 144 55 2" xfId="15683"/>
    <cellStyle name="Normal 144 55 3" xfId="20800"/>
    <cellStyle name="Normal 144 55 4" xfId="25843"/>
    <cellStyle name="Normal 144 55 5" xfId="30804"/>
    <cellStyle name="Normal 144 55 6" xfId="35662"/>
    <cellStyle name="Normal 144 55 7" xfId="40393"/>
    <cellStyle name="Normal 144 56" xfId="8832"/>
    <cellStyle name="Normal 144 56 2" xfId="15913"/>
    <cellStyle name="Normal 144 56 3" xfId="21030"/>
    <cellStyle name="Normal 144 56 4" xfId="26073"/>
    <cellStyle name="Normal 144 56 5" xfId="31034"/>
    <cellStyle name="Normal 144 56 6" xfId="35892"/>
    <cellStyle name="Normal 144 56 7" xfId="40623"/>
    <cellStyle name="Normal 144 57" xfId="8399"/>
    <cellStyle name="Normal 144 57 2" xfId="15480"/>
    <cellStyle name="Normal 144 57 3" xfId="20597"/>
    <cellStyle name="Normal 144 57 4" xfId="25640"/>
    <cellStyle name="Normal 144 57 5" xfId="30601"/>
    <cellStyle name="Normal 144 57 6" xfId="35459"/>
    <cellStyle name="Normal 144 57 7" xfId="40190"/>
    <cellStyle name="Normal 144 58" xfId="8789"/>
    <cellStyle name="Normal 144 58 2" xfId="15870"/>
    <cellStyle name="Normal 144 58 3" xfId="20987"/>
    <cellStyle name="Normal 144 58 4" xfId="26030"/>
    <cellStyle name="Normal 144 58 5" xfId="30991"/>
    <cellStyle name="Normal 144 58 6" xfId="35849"/>
    <cellStyle name="Normal 144 58 7" xfId="40580"/>
    <cellStyle name="Normal 144 59" xfId="8805"/>
    <cellStyle name="Normal 144 59 2" xfId="15886"/>
    <cellStyle name="Normal 144 59 3" xfId="21003"/>
    <cellStyle name="Normal 144 59 4" xfId="26046"/>
    <cellStyle name="Normal 144 59 5" xfId="31007"/>
    <cellStyle name="Normal 144 59 6" xfId="35865"/>
    <cellStyle name="Normal 144 59 7" xfId="40596"/>
    <cellStyle name="Normal 144 6" xfId="4460"/>
    <cellStyle name="Normal 144 6 2" xfId="5865"/>
    <cellStyle name="Normal 144 6 3" xfId="17965"/>
    <cellStyle name="Normal 144 6 4" xfId="23008"/>
    <cellStyle name="Normal 144 6 5" xfId="27969"/>
    <cellStyle name="Normal 144 6 6" xfId="32827"/>
    <cellStyle name="Normal 144 6 7" xfId="37558"/>
    <cellStyle name="Normal 144 60" xfId="8590"/>
    <cellStyle name="Normal 144 60 2" xfId="15671"/>
    <cellStyle name="Normal 144 60 3" xfId="20788"/>
    <cellStyle name="Normal 144 60 4" xfId="25831"/>
    <cellStyle name="Normal 144 60 5" xfId="30792"/>
    <cellStyle name="Normal 144 60 6" xfId="35650"/>
    <cellStyle name="Normal 144 60 7" xfId="40381"/>
    <cellStyle name="Normal 144 61" xfId="8790"/>
    <cellStyle name="Normal 144 61 2" xfId="15871"/>
    <cellStyle name="Normal 144 61 3" xfId="20988"/>
    <cellStyle name="Normal 144 61 4" xfId="26031"/>
    <cellStyle name="Normal 144 61 5" xfId="30992"/>
    <cellStyle name="Normal 144 61 6" xfId="35850"/>
    <cellStyle name="Normal 144 61 7" xfId="40581"/>
    <cellStyle name="Normal 144 62" xfId="8882"/>
    <cellStyle name="Normal 144 62 2" xfId="15963"/>
    <cellStyle name="Normal 144 62 3" xfId="21080"/>
    <cellStyle name="Normal 144 62 4" xfId="26123"/>
    <cellStyle name="Normal 144 62 5" xfId="31084"/>
    <cellStyle name="Normal 144 62 6" xfId="35942"/>
    <cellStyle name="Normal 144 62 7" xfId="40673"/>
    <cellStyle name="Normal 144 63" xfId="9376"/>
    <cellStyle name="Normal 144 63 2" xfId="16457"/>
    <cellStyle name="Normal 144 63 3" xfId="21574"/>
    <cellStyle name="Normal 144 63 4" xfId="26617"/>
    <cellStyle name="Normal 144 63 5" xfId="31578"/>
    <cellStyle name="Normal 144 63 6" xfId="36436"/>
    <cellStyle name="Normal 144 63 7" xfId="41167"/>
    <cellStyle name="Normal 144 64" xfId="9487"/>
    <cellStyle name="Normal 144 64 2" xfId="16568"/>
    <cellStyle name="Normal 144 64 3" xfId="21685"/>
    <cellStyle name="Normal 144 64 4" xfId="26728"/>
    <cellStyle name="Normal 144 64 5" xfId="31689"/>
    <cellStyle name="Normal 144 64 6" xfId="36547"/>
    <cellStyle name="Normal 144 64 7" xfId="41278"/>
    <cellStyle name="Normal 144 65" xfId="9307"/>
    <cellStyle name="Normal 144 65 2" xfId="16388"/>
    <cellStyle name="Normal 144 65 3" xfId="21505"/>
    <cellStyle name="Normal 144 65 4" xfId="26548"/>
    <cellStyle name="Normal 144 65 5" xfId="31509"/>
    <cellStyle name="Normal 144 65 6" xfId="36367"/>
    <cellStyle name="Normal 144 65 7" xfId="41098"/>
    <cellStyle name="Normal 144 66" xfId="9537"/>
    <cellStyle name="Normal 144 66 2" xfId="16618"/>
    <cellStyle name="Normal 144 66 3" xfId="21735"/>
    <cellStyle name="Normal 144 66 4" xfId="26778"/>
    <cellStyle name="Normal 144 66 5" xfId="31739"/>
    <cellStyle name="Normal 144 66 6" xfId="36597"/>
    <cellStyle name="Normal 144 66 7" xfId="41328"/>
    <cellStyle name="Normal 144 67" xfId="9115"/>
    <cellStyle name="Normal 144 67 2" xfId="16196"/>
    <cellStyle name="Normal 144 67 3" xfId="21313"/>
    <cellStyle name="Normal 144 67 4" xfId="26356"/>
    <cellStyle name="Normal 144 67 5" xfId="31317"/>
    <cellStyle name="Normal 144 67 6" xfId="36175"/>
    <cellStyle name="Normal 144 67 7" xfId="40906"/>
    <cellStyle name="Normal 144 68" xfId="9251"/>
    <cellStyle name="Normal 144 68 2" xfId="16332"/>
    <cellStyle name="Normal 144 68 3" xfId="21449"/>
    <cellStyle name="Normal 144 68 4" xfId="26492"/>
    <cellStyle name="Normal 144 68 5" xfId="31453"/>
    <cellStyle name="Normal 144 68 6" xfId="36311"/>
    <cellStyle name="Normal 144 68 7" xfId="41042"/>
    <cellStyle name="Normal 144 69" xfId="9295"/>
    <cellStyle name="Normal 144 69 2" xfId="16376"/>
    <cellStyle name="Normal 144 69 3" xfId="21493"/>
    <cellStyle name="Normal 144 69 4" xfId="26536"/>
    <cellStyle name="Normal 144 69 5" xfId="31497"/>
    <cellStyle name="Normal 144 69 6" xfId="36355"/>
    <cellStyle name="Normal 144 69 7" xfId="41086"/>
    <cellStyle name="Normal 144 7" xfId="4566"/>
    <cellStyle name="Normal 144 7 2" xfId="6035"/>
    <cellStyle name="Normal 144 7 3" xfId="18139"/>
    <cellStyle name="Normal 144 7 4" xfId="23182"/>
    <cellStyle name="Normal 144 7 5" xfId="28143"/>
    <cellStyle name="Normal 144 7 6" xfId="33001"/>
    <cellStyle name="Normal 144 7 7" xfId="37732"/>
    <cellStyle name="Normal 144 70" xfId="9194"/>
    <cellStyle name="Normal 144 70 2" xfId="16275"/>
    <cellStyle name="Normal 144 70 3" xfId="21392"/>
    <cellStyle name="Normal 144 70 4" xfId="26435"/>
    <cellStyle name="Normal 144 70 5" xfId="31396"/>
    <cellStyle name="Normal 144 70 6" xfId="36254"/>
    <cellStyle name="Normal 144 70 7" xfId="40985"/>
    <cellStyle name="Normal 144 71" xfId="9086"/>
    <cellStyle name="Normal 144 71 2" xfId="16167"/>
    <cellStyle name="Normal 144 71 3" xfId="21284"/>
    <cellStyle name="Normal 144 71 4" xfId="26327"/>
    <cellStyle name="Normal 144 71 5" xfId="31288"/>
    <cellStyle name="Normal 144 71 6" xfId="36146"/>
    <cellStyle name="Normal 144 71 7" xfId="40877"/>
    <cellStyle name="Normal 144 72" xfId="9593"/>
    <cellStyle name="Normal 144 72 2" xfId="16674"/>
    <cellStyle name="Normal 144 72 3" xfId="21791"/>
    <cellStyle name="Normal 144 72 4" xfId="26834"/>
    <cellStyle name="Normal 144 72 5" xfId="31795"/>
    <cellStyle name="Normal 144 72 6" xfId="36653"/>
    <cellStyle name="Normal 144 72 7" xfId="41384"/>
    <cellStyle name="Normal 144 73" xfId="9610"/>
    <cellStyle name="Normal 144 73 2" xfId="16691"/>
    <cellStyle name="Normal 144 73 3" xfId="21808"/>
    <cellStyle name="Normal 144 73 4" xfId="26851"/>
    <cellStyle name="Normal 144 73 5" xfId="31812"/>
    <cellStyle name="Normal 144 73 6" xfId="36670"/>
    <cellStyle name="Normal 144 73 7" xfId="41401"/>
    <cellStyle name="Normal 144 74" xfId="9622"/>
    <cellStyle name="Normal 144 74 2" xfId="16703"/>
    <cellStyle name="Normal 144 74 3" xfId="21820"/>
    <cellStyle name="Normal 144 74 4" xfId="26863"/>
    <cellStyle name="Normal 144 74 5" xfId="31824"/>
    <cellStyle name="Normal 144 74 6" xfId="36682"/>
    <cellStyle name="Normal 144 74 7" xfId="41413"/>
    <cellStyle name="Normal 144 75" xfId="9874"/>
    <cellStyle name="Normal 144 75 2" xfId="16955"/>
    <cellStyle name="Normal 144 75 3" xfId="22072"/>
    <cellStyle name="Normal 144 75 4" xfId="27115"/>
    <cellStyle name="Normal 144 75 5" xfId="32076"/>
    <cellStyle name="Normal 144 75 6" xfId="36934"/>
    <cellStyle name="Normal 144 75 7" xfId="41665"/>
    <cellStyle name="Normal 144 76" xfId="9946"/>
    <cellStyle name="Normal 144 76 2" xfId="17027"/>
    <cellStyle name="Normal 144 76 3" xfId="22144"/>
    <cellStyle name="Normal 144 76 4" xfId="27187"/>
    <cellStyle name="Normal 144 76 5" xfId="32148"/>
    <cellStyle name="Normal 144 76 6" xfId="37006"/>
    <cellStyle name="Normal 144 76 7" xfId="41737"/>
    <cellStyle name="Normal 144 77" xfId="9841"/>
    <cellStyle name="Normal 144 77 2" xfId="16922"/>
    <cellStyle name="Normal 144 77 3" xfId="22039"/>
    <cellStyle name="Normal 144 77 4" xfId="27082"/>
    <cellStyle name="Normal 144 77 5" xfId="32043"/>
    <cellStyle name="Normal 144 77 6" xfId="36901"/>
    <cellStyle name="Normal 144 77 7" xfId="41632"/>
    <cellStyle name="Normal 144 78" xfId="9966"/>
    <cellStyle name="Normal 144 78 2" xfId="17047"/>
    <cellStyle name="Normal 144 78 3" xfId="22164"/>
    <cellStyle name="Normal 144 78 4" xfId="27207"/>
    <cellStyle name="Normal 144 78 5" xfId="32168"/>
    <cellStyle name="Normal 144 78 6" xfId="37026"/>
    <cellStyle name="Normal 144 78 7" xfId="41757"/>
    <cellStyle name="Normal 144 79" xfId="9749"/>
    <cellStyle name="Normal 144 79 2" xfId="16830"/>
    <cellStyle name="Normal 144 79 3" xfId="21947"/>
    <cellStyle name="Normal 144 79 4" xfId="26990"/>
    <cellStyle name="Normal 144 79 5" xfId="31951"/>
    <cellStyle name="Normal 144 79 6" xfId="36809"/>
    <cellStyle name="Normal 144 79 7" xfId="41540"/>
    <cellStyle name="Normal 144 8" xfId="4608"/>
    <cellStyle name="Normal 144 8 2" xfId="6091"/>
    <cellStyle name="Normal 144 8 3" xfId="18195"/>
    <cellStyle name="Normal 144 8 4" xfId="23238"/>
    <cellStyle name="Normal 144 8 5" xfId="28199"/>
    <cellStyle name="Normal 144 8 6" xfId="33057"/>
    <cellStyle name="Normal 144 8 7" xfId="37788"/>
    <cellStyle name="Normal 144 80" xfId="9814"/>
    <cellStyle name="Normal 144 80 2" xfId="16895"/>
    <cellStyle name="Normal 144 80 3" xfId="22012"/>
    <cellStyle name="Normal 144 80 4" xfId="27055"/>
    <cellStyle name="Normal 144 80 5" xfId="32016"/>
    <cellStyle name="Normal 144 80 6" xfId="36874"/>
    <cellStyle name="Normal 144 80 7" xfId="41605"/>
    <cellStyle name="Normal 144 81" xfId="10204"/>
    <cellStyle name="Normal 144 81 2" xfId="17285"/>
    <cellStyle name="Normal 144 81 3" xfId="22402"/>
    <cellStyle name="Normal 144 81 4" xfId="27445"/>
    <cellStyle name="Normal 144 81 5" xfId="32406"/>
    <cellStyle name="Normal 144 81 6" xfId="37264"/>
    <cellStyle name="Normal 144 81 7" xfId="41995"/>
    <cellStyle name="Normal 144 82" xfId="10276"/>
    <cellStyle name="Normal 144 82 2" xfId="17357"/>
    <cellStyle name="Normal 144 82 3" xfId="22474"/>
    <cellStyle name="Normal 144 82 4" xfId="27517"/>
    <cellStyle name="Normal 144 82 5" xfId="32478"/>
    <cellStyle name="Normal 144 82 6" xfId="37336"/>
    <cellStyle name="Normal 144 82 7" xfId="42067"/>
    <cellStyle name="Normal 144 83" xfId="10171"/>
    <cellStyle name="Normal 144 83 2" xfId="17252"/>
    <cellStyle name="Normal 144 83 3" xfId="22369"/>
    <cellStyle name="Normal 144 83 4" xfId="27412"/>
    <cellStyle name="Normal 144 83 5" xfId="32373"/>
    <cellStyle name="Normal 144 83 6" xfId="37231"/>
    <cellStyle name="Normal 144 83 7" xfId="41962"/>
    <cellStyle name="Normal 144 84" xfId="10296"/>
    <cellStyle name="Normal 144 84 2" xfId="17377"/>
    <cellStyle name="Normal 144 84 3" xfId="22494"/>
    <cellStyle name="Normal 144 84 4" xfId="27537"/>
    <cellStyle name="Normal 144 84 5" xfId="32498"/>
    <cellStyle name="Normal 144 84 6" xfId="37356"/>
    <cellStyle name="Normal 144 84 7" xfId="42087"/>
    <cellStyle name="Normal 144 85" xfId="10079"/>
    <cellStyle name="Normal 144 85 2" xfId="17160"/>
    <cellStyle name="Normal 144 85 3" xfId="22277"/>
    <cellStyle name="Normal 144 85 4" xfId="27320"/>
    <cellStyle name="Normal 144 85 5" xfId="32281"/>
    <cellStyle name="Normal 144 85 6" xfId="37139"/>
    <cellStyle name="Normal 144 85 7" xfId="41870"/>
    <cellStyle name="Normal 144 86" xfId="10144"/>
    <cellStyle name="Normal 144 86 2" xfId="17225"/>
    <cellStyle name="Normal 144 86 3" xfId="22342"/>
    <cellStyle name="Normal 144 86 4" xfId="27385"/>
    <cellStyle name="Normal 144 86 5" xfId="32346"/>
    <cellStyle name="Normal 144 86 6" xfId="37204"/>
    <cellStyle name="Normal 144 86 7" xfId="41935"/>
    <cellStyle name="Normal 144 87" xfId="12985"/>
    <cellStyle name="Normal 144 88" xfId="10673"/>
    <cellStyle name="Normal 144 89" xfId="12482"/>
    <cellStyle name="Normal 144 9" xfId="4559"/>
    <cellStyle name="Normal 144 9 2" xfId="5966"/>
    <cellStyle name="Normal 144 9 3" xfId="18068"/>
    <cellStyle name="Normal 144 9 4" xfId="23111"/>
    <cellStyle name="Normal 144 9 5" xfId="28072"/>
    <cellStyle name="Normal 144 9 6" xfId="32930"/>
    <cellStyle name="Normal 144 9 7" xfId="37661"/>
    <cellStyle name="Normal 144 90" xfId="14044"/>
    <cellStyle name="Normal 144 91" xfId="17761"/>
    <cellStyle name="Normal 144 92" xfId="22829"/>
    <cellStyle name="Normal 145" xfId="3700"/>
    <cellStyle name="Normal 145 10" xfId="4710"/>
    <cellStyle name="Normal 145 10 2" xfId="6104"/>
    <cellStyle name="Normal 145 10 3" xfId="18208"/>
    <cellStyle name="Normal 145 10 4" xfId="23251"/>
    <cellStyle name="Normal 145 10 5" xfId="28212"/>
    <cellStyle name="Normal 145 10 6" xfId="33070"/>
    <cellStyle name="Normal 145 10 7" xfId="37801"/>
    <cellStyle name="Normal 145 11" xfId="4724"/>
    <cellStyle name="Normal 145 11 2" xfId="6368"/>
    <cellStyle name="Normal 145 11 3" xfId="18477"/>
    <cellStyle name="Normal 145 11 4" xfId="23520"/>
    <cellStyle name="Normal 145 11 5" xfId="28481"/>
    <cellStyle name="Normal 145 11 6" xfId="33339"/>
    <cellStyle name="Normal 145 11 7" xfId="38070"/>
    <cellStyle name="Normal 145 12" xfId="4910"/>
    <cellStyle name="Normal 145 12 2" xfId="6372"/>
    <cellStyle name="Normal 145 12 3" xfId="18481"/>
    <cellStyle name="Normal 145 12 4" xfId="23524"/>
    <cellStyle name="Normal 145 12 5" xfId="28485"/>
    <cellStyle name="Normal 145 12 6" xfId="33343"/>
    <cellStyle name="Normal 145 12 7" xfId="38074"/>
    <cellStyle name="Normal 145 13" xfId="4916"/>
    <cellStyle name="Normal 145 13 2" xfId="6289"/>
    <cellStyle name="Normal 145 13 3" xfId="18395"/>
    <cellStyle name="Normal 145 13 4" xfId="23438"/>
    <cellStyle name="Normal 145 13 5" xfId="28399"/>
    <cellStyle name="Normal 145 13 6" xfId="33257"/>
    <cellStyle name="Normal 145 13 7" xfId="37988"/>
    <cellStyle name="Normal 145 14" xfId="4777"/>
    <cellStyle name="Normal 145 14 2" xfId="5921"/>
    <cellStyle name="Normal 145 14 3" xfId="18023"/>
    <cellStyle name="Normal 145 14 4" xfId="23066"/>
    <cellStyle name="Normal 145 14 5" xfId="28027"/>
    <cellStyle name="Normal 145 14 6" xfId="32885"/>
    <cellStyle name="Normal 145 14 7" xfId="37616"/>
    <cellStyle name="Normal 145 15" xfId="4783"/>
    <cellStyle name="Normal 145 15 2" xfId="6474"/>
    <cellStyle name="Normal 145 15 3" xfId="18584"/>
    <cellStyle name="Normal 145 15 4" xfId="23627"/>
    <cellStyle name="Normal 145 15 5" xfId="28588"/>
    <cellStyle name="Normal 145 15 6" xfId="33446"/>
    <cellStyle name="Normal 145 15 7" xfId="38177"/>
    <cellStyle name="Normal 145 16" xfId="5126"/>
    <cellStyle name="Normal 145 16 2" xfId="6498"/>
    <cellStyle name="Normal 145 16 3" xfId="18616"/>
    <cellStyle name="Normal 145 16 4" xfId="23659"/>
    <cellStyle name="Normal 145 16 5" xfId="28620"/>
    <cellStyle name="Normal 145 16 6" xfId="33478"/>
    <cellStyle name="Normal 145 16 7" xfId="38209"/>
    <cellStyle name="Normal 145 17" xfId="5133"/>
    <cellStyle name="Normal 145 17 2" xfId="6513"/>
    <cellStyle name="Normal 145 17 3" xfId="18631"/>
    <cellStyle name="Normal 145 17 4" xfId="23674"/>
    <cellStyle name="Normal 145 17 5" xfId="28635"/>
    <cellStyle name="Normal 145 17 6" xfId="33493"/>
    <cellStyle name="Normal 145 17 7" xfId="38224"/>
    <cellStyle name="Normal 145 18" xfId="5111"/>
    <cellStyle name="Normal 145 18 2" xfId="6825"/>
    <cellStyle name="Normal 145 18 3" xfId="18946"/>
    <cellStyle name="Normal 145 18 4" xfId="23989"/>
    <cellStyle name="Normal 145 18 5" xfId="28950"/>
    <cellStyle name="Normal 145 18 6" xfId="33808"/>
    <cellStyle name="Normal 145 18 7" xfId="38539"/>
    <cellStyle name="Normal 145 19" xfId="5022"/>
    <cellStyle name="Normal 145 19 2" xfId="6832"/>
    <cellStyle name="Normal 145 19 3" xfId="18953"/>
    <cellStyle name="Normal 145 19 4" xfId="23996"/>
    <cellStyle name="Normal 145 19 5" xfId="28957"/>
    <cellStyle name="Normal 145 19 6" xfId="33815"/>
    <cellStyle name="Normal 145 19 7" xfId="38546"/>
    <cellStyle name="Normal 145 2" xfId="4339"/>
    <cellStyle name="Normal 145 2 2" xfId="6408"/>
    <cellStyle name="Normal 145 2 3" xfId="18518"/>
    <cellStyle name="Normal 145 2 4" xfId="23561"/>
    <cellStyle name="Normal 145 2 5" xfId="28522"/>
    <cellStyle name="Normal 145 2 6" xfId="33380"/>
    <cellStyle name="Normal 145 2 7" xfId="38111"/>
    <cellStyle name="Normal 145 20" xfId="5556"/>
    <cellStyle name="Normal 145 20 2" xfId="6696"/>
    <cellStyle name="Normal 145 20 3" xfId="18817"/>
    <cellStyle name="Normal 145 20 4" xfId="23860"/>
    <cellStyle name="Normal 145 20 5" xfId="28821"/>
    <cellStyle name="Normal 145 20 6" xfId="33679"/>
    <cellStyle name="Normal 145 20 7" xfId="38410"/>
    <cellStyle name="Normal 145 21" xfId="5570"/>
    <cellStyle name="Normal 145 21 2" xfId="6719"/>
    <cellStyle name="Normal 145 21 3" xfId="18840"/>
    <cellStyle name="Normal 145 21 4" xfId="23883"/>
    <cellStyle name="Normal 145 21 5" xfId="28844"/>
    <cellStyle name="Normal 145 21 6" xfId="33702"/>
    <cellStyle name="Normal 145 21 7" xfId="38433"/>
    <cellStyle name="Normal 145 22" xfId="5273"/>
    <cellStyle name="Normal 145 22 2" xfId="7310"/>
    <cellStyle name="Normal 145 22 3" xfId="19480"/>
    <cellStyle name="Normal 145 22 4" xfId="24523"/>
    <cellStyle name="Normal 145 22 5" xfId="29484"/>
    <cellStyle name="Normal 145 22 6" xfId="34342"/>
    <cellStyle name="Normal 145 22 7" xfId="39073"/>
    <cellStyle name="Normal 145 23" xfId="5299"/>
    <cellStyle name="Normal 145 23 2" xfId="7330"/>
    <cellStyle name="Normal 145 23 3" xfId="19502"/>
    <cellStyle name="Normal 145 23 4" xfId="24545"/>
    <cellStyle name="Normal 145 23 5" xfId="29506"/>
    <cellStyle name="Normal 145 23 6" xfId="34364"/>
    <cellStyle name="Normal 145 23 7" xfId="39095"/>
    <cellStyle name="Normal 145 24" xfId="5260"/>
    <cellStyle name="Normal 145 24 2" xfId="6980"/>
    <cellStyle name="Normal 145 24 3" xfId="19113"/>
    <cellStyle name="Normal 145 24 4" xfId="24156"/>
    <cellStyle name="Normal 145 24 5" xfId="29117"/>
    <cellStyle name="Normal 145 24 6" xfId="33975"/>
    <cellStyle name="Normal 145 24 7" xfId="38706"/>
    <cellStyle name="Normal 145 25" xfId="5526"/>
    <cellStyle name="Normal 145 25 2" xfId="7046"/>
    <cellStyle name="Normal 145 25 3" xfId="19188"/>
    <cellStyle name="Normal 145 25 4" xfId="24231"/>
    <cellStyle name="Normal 145 25 5" xfId="29192"/>
    <cellStyle name="Normal 145 25 6" xfId="34050"/>
    <cellStyle name="Normal 145 25 7" xfId="38781"/>
    <cellStyle name="Normal 145 26" xfId="5373"/>
    <cellStyle name="Normal 145 26 2" xfId="7335"/>
    <cellStyle name="Normal 145 26 3" xfId="19507"/>
    <cellStyle name="Normal 145 26 4" xfId="24550"/>
    <cellStyle name="Normal 145 26 5" xfId="29511"/>
    <cellStyle name="Normal 145 26 6" xfId="34369"/>
    <cellStyle name="Normal 145 26 7" xfId="39100"/>
    <cellStyle name="Normal 145 27" xfId="5549"/>
    <cellStyle name="Normal 145 27 2" xfId="7011"/>
    <cellStyle name="Normal 145 27 3" xfId="19150"/>
    <cellStyle name="Normal 145 27 4" xfId="24193"/>
    <cellStyle name="Normal 145 27 5" xfId="29154"/>
    <cellStyle name="Normal 145 27 6" xfId="34012"/>
    <cellStyle name="Normal 145 27 7" xfId="38743"/>
    <cellStyle name="Normal 145 28" xfId="5528"/>
    <cellStyle name="Normal 145 28 2" xfId="7200"/>
    <cellStyle name="Normal 145 28 3" xfId="19356"/>
    <cellStyle name="Normal 145 28 4" xfId="24399"/>
    <cellStyle name="Normal 145 28 5" xfId="29360"/>
    <cellStyle name="Normal 145 28 6" xfId="34218"/>
    <cellStyle name="Normal 145 28 7" xfId="38949"/>
    <cellStyle name="Normal 145 29" xfId="5796"/>
    <cellStyle name="Normal 145 29 2" xfId="14446"/>
    <cellStyle name="Normal 145 29 3" xfId="19476"/>
    <cellStyle name="Normal 145 29 4" xfId="24519"/>
    <cellStyle name="Normal 145 29 5" xfId="29480"/>
    <cellStyle name="Normal 145 29 6" xfId="34338"/>
    <cellStyle name="Normal 145 29 7" xfId="39069"/>
    <cellStyle name="Normal 145 3" xfId="4336"/>
    <cellStyle name="Normal 145 3 2" xfId="6440"/>
    <cellStyle name="Normal 145 3 3" xfId="18550"/>
    <cellStyle name="Normal 145 3 4" xfId="23593"/>
    <cellStyle name="Normal 145 3 5" xfId="28554"/>
    <cellStyle name="Normal 145 3 6" xfId="33412"/>
    <cellStyle name="Normal 145 3 7" xfId="38143"/>
    <cellStyle name="Normal 145 30" xfId="7099"/>
    <cellStyle name="Normal 145 30 2" xfId="14343"/>
    <cellStyle name="Normal 145 30 3" xfId="19245"/>
    <cellStyle name="Normal 145 30 4" xfId="24288"/>
    <cellStyle name="Normal 145 30 5" xfId="29249"/>
    <cellStyle name="Normal 145 30 6" xfId="34107"/>
    <cellStyle name="Normal 145 30 7" xfId="38838"/>
    <cellStyle name="Normal 145 31" xfId="7282"/>
    <cellStyle name="Normal 145 31 2" xfId="14431"/>
    <cellStyle name="Normal 145 31 3" xfId="19449"/>
    <cellStyle name="Normal 145 31 4" xfId="24492"/>
    <cellStyle name="Normal 145 31 5" xfId="29453"/>
    <cellStyle name="Normal 145 31 6" xfId="34311"/>
    <cellStyle name="Normal 145 31 7" xfId="39042"/>
    <cellStyle name="Normal 145 32" xfId="7285"/>
    <cellStyle name="Normal 145 32 2" xfId="14432"/>
    <cellStyle name="Normal 145 32 3" xfId="19452"/>
    <cellStyle name="Normal 145 32 4" xfId="24495"/>
    <cellStyle name="Normal 145 32 5" xfId="29456"/>
    <cellStyle name="Normal 145 32 6" xfId="34314"/>
    <cellStyle name="Normal 145 32 7" xfId="39045"/>
    <cellStyle name="Normal 145 33" xfId="7234"/>
    <cellStyle name="Normal 145 33 2" xfId="14403"/>
    <cellStyle name="Normal 145 33 3" xfId="19394"/>
    <cellStyle name="Normal 145 33 4" xfId="24437"/>
    <cellStyle name="Normal 145 33 5" xfId="29398"/>
    <cellStyle name="Normal 145 33 6" xfId="34256"/>
    <cellStyle name="Normal 145 33 7" xfId="38987"/>
    <cellStyle name="Normal 145 34" xfId="8017"/>
    <cellStyle name="Normal 145 34 2" xfId="15097"/>
    <cellStyle name="Normal 145 34 3" xfId="20214"/>
    <cellStyle name="Normal 145 34 4" xfId="25257"/>
    <cellStyle name="Normal 145 34 5" xfId="30218"/>
    <cellStyle name="Normal 145 34 6" xfId="35076"/>
    <cellStyle name="Normal 145 34 7" xfId="39807"/>
    <cellStyle name="Normal 145 35" xfId="8045"/>
    <cellStyle name="Normal 145 35 2" xfId="15125"/>
    <cellStyle name="Normal 145 35 3" xfId="20242"/>
    <cellStyle name="Normal 145 35 4" xfId="25285"/>
    <cellStyle name="Normal 145 35 5" xfId="30246"/>
    <cellStyle name="Normal 145 35 6" xfId="35104"/>
    <cellStyle name="Normal 145 35 7" xfId="39835"/>
    <cellStyle name="Normal 145 36" xfId="7593"/>
    <cellStyle name="Normal 145 36 2" xfId="14673"/>
    <cellStyle name="Normal 145 36 3" xfId="19790"/>
    <cellStyle name="Normal 145 36 4" xfId="24833"/>
    <cellStyle name="Normal 145 36 5" xfId="29794"/>
    <cellStyle name="Normal 145 36 6" xfId="34652"/>
    <cellStyle name="Normal 145 36 7" xfId="39383"/>
    <cellStyle name="Normal 145 37" xfId="7678"/>
    <cellStyle name="Normal 145 37 2" xfId="14758"/>
    <cellStyle name="Normal 145 37 3" xfId="19875"/>
    <cellStyle name="Normal 145 37 4" xfId="24918"/>
    <cellStyle name="Normal 145 37 5" xfId="29879"/>
    <cellStyle name="Normal 145 37 6" xfId="34737"/>
    <cellStyle name="Normal 145 37 7" xfId="39468"/>
    <cellStyle name="Normal 145 38" xfId="8050"/>
    <cellStyle name="Normal 145 38 2" xfId="15130"/>
    <cellStyle name="Normal 145 38 3" xfId="20247"/>
    <cellStyle name="Normal 145 38 4" xfId="25290"/>
    <cellStyle name="Normal 145 38 5" xfId="30251"/>
    <cellStyle name="Normal 145 38 6" xfId="35109"/>
    <cellStyle name="Normal 145 38 7" xfId="39840"/>
    <cellStyle name="Normal 145 39" xfId="7637"/>
    <cellStyle name="Normal 145 39 2" xfId="14717"/>
    <cellStyle name="Normal 145 39 3" xfId="19834"/>
    <cellStyle name="Normal 145 39 4" xfId="24877"/>
    <cellStyle name="Normal 145 39 5" xfId="29838"/>
    <cellStyle name="Normal 145 39 6" xfId="34696"/>
    <cellStyle name="Normal 145 39 7" xfId="39427"/>
    <cellStyle name="Normal 145 4" xfId="4328"/>
    <cellStyle name="Normal 145 4 2" xfId="5938"/>
    <cellStyle name="Normal 145 4 3" xfId="18040"/>
    <cellStyle name="Normal 145 4 4" xfId="23083"/>
    <cellStyle name="Normal 145 4 5" xfId="28044"/>
    <cellStyle name="Normal 145 4 6" xfId="32902"/>
    <cellStyle name="Normal 145 4 7" xfId="37633"/>
    <cellStyle name="Normal 145 40" xfId="7864"/>
    <cellStyle name="Normal 145 40 2" xfId="14944"/>
    <cellStyle name="Normal 145 40 3" xfId="20061"/>
    <cellStyle name="Normal 145 40 4" xfId="25104"/>
    <cellStyle name="Normal 145 40 5" xfId="30065"/>
    <cellStyle name="Normal 145 40 6" xfId="34923"/>
    <cellStyle name="Normal 145 40 7" xfId="39654"/>
    <cellStyle name="Normal 145 41" xfId="8012"/>
    <cellStyle name="Normal 145 41 2" xfId="15092"/>
    <cellStyle name="Normal 145 41 3" xfId="20209"/>
    <cellStyle name="Normal 145 41 4" xfId="25252"/>
    <cellStyle name="Normal 145 41 5" xfId="30213"/>
    <cellStyle name="Normal 145 41 6" xfId="35071"/>
    <cellStyle name="Normal 145 41 7" xfId="39802"/>
    <cellStyle name="Normal 145 42" xfId="7742"/>
    <cellStyle name="Normal 145 42 2" xfId="14822"/>
    <cellStyle name="Normal 145 42 3" xfId="19939"/>
    <cellStyle name="Normal 145 42 4" xfId="24982"/>
    <cellStyle name="Normal 145 42 5" xfId="29943"/>
    <cellStyle name="Normal 145 42 6" xfId="34801"/>
    <cellStyle name="Normal 145 42 7" xfId="39532"/>
    <cellStyle name="Normal 145 43" xfId="7979"/>
    <cellStyle name="Normal 145 43 2" xfId="15059"/>
    <cellStyle name="Normal 145 43 3" xfId="20176"/>
    <cellStyle name="Normal 145 43 4" xfId="25219"/>
    <cellStyle name="Normal 145 43 5" xfId="30180"/>
    <cellStyle name="Normal 145 43 6" xfId="35038"/>
    <cellStyle name="Normal 145 43 7" xfId="39769"/>
    <cellStyle name="Normal 145 44" xfId="7982"/>
    <cellStyle name="Normal 145 44 2" xfId="15062"/>
    <cellStyle name="Normal 145 44 3" xfId="20179"/>
    <cellStyle name="Normal 145 44 4" xfId="25222"/>
    <cellStyle name="Normal 145 44 5" xfId="30183"/>
    <cellStyle name="Normal 145 44 6" xfId="35041"/>
    <cellStyle name="Normal 145 44 7" xfId="39772"/>
    <cellStyle name="Normal 145 45" xfId="7908"/>
    <cellStyle name="Normal 145 45 2" xfId="14988"/>
    <cellStyle name="Normal 145 45 3" xfId="20105"/>
    <cellStyle name="Normal 145 45 4" xfId="25148"/>
    <cellStyle name="Normal 145 45 5" xfId="30109"/>
    <cellStyle name="Normal 145 45 6" xfId="34967"/>
    <cellStyle name="Normal 145 45 7" xfId="39698"/>
    <cellStyle name="Normal 145 46" xfId="7578"/>
    <cellStyle name="Normal 145 46 2" xfId="14658"/>
    <cellStyle name="Normal 145 46 3" xfId="19775"/>
    <cellStyle name="Normal 145 46 4" xfId="24818"/>
    <cellStyle name="Normal 145 46 5" xfId="29779"/>
    <cellStyle name="Normal 145 46 6" xfId="34637"/>
    <cellStyle name="Normal 145 46 7" xfId="39368"/>
    <cellStyle name="Normal 145 47" xfId="8074"/>
    <cellStyle name="Normal 145 47 2" xfId="15154"/>
    <cellStyle name="Normal 145 47 3" xfId="20271"/>
    <cellStyle name="Normal 145 47 4" xfId="25314"/>
    <cellStyle name="Normal 145 47 5" xfId="30275"/>
    <cellStyle name="Normal 145 47 6" xfId="35133"/>
    <cellStyle name="Normal 145 47 7" xfId="39864"/>
    <cellStyle name="Normal 145 48" xfId="8819"/>
    <cellStyle name="Normal 145 48 2" xfId="15900"/>
    <cellStyle name="Normal 145 48 3" xfId="21017"/>
    <cellStyle name="Normal 145 48 4" xfId="26060"/>
    <cellStyle name="Normal 145 48 5" xfId="31021"/>
    <cellStyle name="Normal 145 48 6" xfId="35879"/>
    <cellStyle name="Normal 145 48 7" xfId="40610"/>
    <cellStyle name="Normal 145 49" xfId="8839"/>
    <cellStyle name="Normal 145 49 2" xfId="15920"/>
    <cellStyle name="Normal 145 49 3" xfId="21037"/>
    <cellStyle name="Normal 145 49 4" xfId="26080"/>
    <cellStyle name="Normal 145 49 5" xfId="31041"/>
    <cellStyle name="Normal 145 49 6" xfId="35899"/>
    <cellStyle name="Normal 145 49 7" xfId="40630"/>
    <cellStyle name="Normal 145 5" xfId="4428"/>
    <cellStyle name="Normal 145 5 2" xfId="6031"/>
    <cellStyle name="Normal 145 5 3" xfId="18135"/>
    <cellStyle name="Normal 145 5 4" xfId="23178"/>
    <cellStyle name="Normal 145 5 5" xfId="28139"/>
    <cellStyle name="Normal 145 5 6" xfId="32997"/>
    <cellStyle name="Normal 145 5 7" xfId="37728"/>
    <cellStyle name="Normal 145 50" xfId="8371"/>
    <cellStyle name="Normal 145 50 2" xfId="15452"/>
    <cellStyle name="Normal 145 50 3" xfId="20569"/>
    <cellStyle name="Normal 145 50 4" xfId="25612"/>
    <cellStyle name="Normal 145 50 5" xfId="30573"/>
    <cellStyle name="Normal 145 50 6" xfId="35431"/>
    <cellStyle name="Normal 145 50 7" xfId="40162"/>
    <cellStyle name="Normal 145 51" xfId="8454"/>
    <cellStyle name="Normal 145 51 2" xfId="15535"/>
    <cellStyle name="Normal 145 51 3" xfId="20652"/>
    <cellStyle name="Normal 145 51 4" xfId="25695"/>
    <cellStyle name="Normal 145 51 5" xfId="30656"/>
    <cellStyle name="Normal 145 51 6" xfId="35514"/>
    <cellStyle name="Normal 145 51 7" xfId="40245"/>
    <cellStyle name="Normal 145 52" xfId="8851"/>
    <cellStyle name="Normal 145 52 2" xfId="15932"/>
    <cellStyle name="Normal 145 52 3" xfId="21049"/>
    <cellStyle name="Normal 145 52 4" xfId="26092"/>
    <cellStyle name="Normal 145 52 5" xfId="31053"/>
    <cellStyle name="Normal 145 52 6" xfId="35911"/>
    <cellStyle name="Normal 145 52 7" xfId="40642"/>
    <cellStyle name="Normal 145 53" xfId="8412"/>
    <cellStyle name="Normal 145 53 2" xfId="15493"/>
    <cellStyle name="Normal 145 53 3" xfId="20610"/>
    <cellStyle name="Normal 145 53 4" xfId="25653"/>
    <cellStyle name="Normal 145 53 5" xfId="30614"/>
    <cellStyle name="Normal 145 53 6" xfId="35472"/>
    <cellStyle name="Normal 145 53 7" xfId="40203"/>
    <cellStyle name="Normal 145 54" xfId="8663"/>
    <cellStyle name="Normal 145 54 2" xfId="15744"/>
    <cellStyle name="Normal 145 54 3" xfId="20861"/>
    <cellStyle name="Normal 145 54 4" xfId="25904"/>
    <cellStyle name="Normal 145 54 5" xfId="30865"/>
    <cellStyle name="Normal 145 54 6" xfId="35723"/>
    <cellStyle name="Normal 145 54 7" xfId="40454"/>
    <cellStyle name="Normal 145 55" xfId="8803"/>
    <cellStyle name="Normal 145 55 2" xfId="15884"/>
    <cellStyle name="Normal 145 55 3" xfId="21001"/>
    <cellStyle name="Normal 145 55 4" xfId="26044"/>
    <cellStyle name="Normal 145 55 5" xfId="31005"/>
    <cellStyle name="Normal 145 55 6" xfId="35863"/>
    <cellStyle name="Normal 145 55 7" xfId="40594"/>
    <cellStyle name="Normal 145 56" xfId="8512"/>
    <cellStyle name="Normal 145 56 2" xfId="15593"/>
    <cellStyle name="Normal 145 56 3" xfId="20710"/>
    <cellStyle name="Normal 145 56 4" xfId="25753"/>
    <cellStyle name="Normal 145 56 5" xfId="30714"/>
    <cellStyle name="Normal 145 56 6" xfId="35572"/>
    <cellStyle name="Normal 145 56 7" xfId="40303"/>
    <cellStyle name="Normal 145 57" xfId="8527"/>
    <cellStyle name="Normal 145 57 2" xfId="15608"/>
    <cellStyle name="Normal 145 57 3" xfId="20725"/>
    <cellStyle name="Normal 145 57 4" xfId="25768"/>
    <cellStyle name="Normal 145 57 5" xfId="30729"/>
    <cellStyle name="Normal 145 57 6" xfId="35587"/>
    <cellStyle name="Normal 145 57 7" xfId="40318"/>
    <cellStyle name="Normal 145 58" xfId="8585"/>
    <cellStyle name="Normal 145 58 2" xfId="15666"/>
    <cellStyle name="Normal 145 58 3" xfId="20783"/>
    <cellStyle name="Normal 145 58 4" xfId="25826"/>
    <cellStyle name="Normal 145 58 5" xfId="30787"/>
    <cellStyle name="Normal 145 58 6" xfId="35645"/>
    <cellStyle name="Normal 145 58 7" xfId="40376"/>
    <cellStyle name="Normal 145 59" xfId="8745"/>
    <cellStyle name="Normal 145 59 2" xfId="15826"/>
    <cellStyle name="Normal 145 59 3" xfId="20943"/>
    <cellStyle name="Normal 145 59 4" xfId="25986"/>
    <cellStyle name="Normal 145 59 5" xfId="30947"/>
    <cellStyle name="Normal 145 59 6" xfId="35805"/>
    <cellStyle name="Normal 145 59 7" xfId="40536"/>
    <cellStyle name="Normal 145 6" xfId="4484"/>
    <cellStyle name="Normal 145 6 2" xfId="6446"/>
    <cellStyle name="Normal 145 6 3" xfId="18556"/>
    <cellStyle name="Normal 145 6 4" xfId="23599"/>
    <cellStyle name="Normal 145 6 5" xfId="28560"/>
    <cellStyle name="Normal 145 6 6" xfId="33418"/>
    <cellStyle name="Normal 145 6 7" xfId="38149"/>
    <cellStyle name="Normal 145 60" xfId="8274"/>
    <cellStyle name="Normal 145 60 2" xfId="15355"/>
    <cellStyle name="Normal 145 60 3" xfId="20472"/>
    <cellStyle name="Normal 145 60 4" xfId="25515"/>
    <cellStyle name="Normal 145 60 5" xfId="30476"/>
    <cellStyle name="Normal 145 60 6" xfId="35334"/>
    <cellStyle name="Normal 145 60 7" xfId="40065"/>
    <cellStyle name="Normal 145 61" xfId="8786"/>
    <cellStyle name="Normal 145 61 2" xfId="15867"/>
    <cellStyle name="Normal 145 61 3" xfId="20984"/>
    <cellStyle name="Normal 145 61 4" xfId="26027"/>
    <cellStyle name="Normal 145 61 5" xfId="30988"/>
    <cellStyle name="Normal 145 61 6" xfId="35846"/>
    <cellStyle name="Normal 145 61 7" xfId="40577"/>
    <cellStyle name="Normal 145 62" xfId="8898"/>
    <cellStyle name="Normal 145 62 2" xfId="15979"/>
    <cellStyle name="Normal 145 62 3" xfId="21096"/>
    <cellStyle name="Normal 145 62 4" xfId="26139"/>
    <cellStyle name="Normal 145 62 5" xfId="31100"/>
    <cellStyle name="Normal 145 62 6" xfId="35958"/>
    <cellStyle name="Normal 145 62 7" xfId="40689"/>
    <cellStyle name="Normal 145 63" xfId="9540"/>
    <cellStyle name="Normal 145 63 2" xfId="16621"/>
    <cellStyle name="Normal 145 63 3" xfId="21738"/>
    <cellStyle name="Normal 145 63 4" xfId="26781"/>
    <cellStyle name="Normal 145 63 5" xfId="31742"/>
    <cellStyle name="Normal 145 63 6" xfId="36600"/>
    <cellStyle name="Normal 145 63 7" xfId="41331"/>
    <cellStyle name="Normal 145 64" xfId="9562"/>
    <cellStyle name="Normal 145 64 2" xfId="16643"/>
    <cellStyle name="Normal 145 64 3" xfId="21760"/>
    <cellStyle name="Normal 145 64 4" xfId="26803"/>
    <cellStyle name="Normal 145 64 5" xfId="31764"/>
    <cellStyle name="Normal 145 64 6" xfId="36622"/>
    <cellStyle name="Normal 145 64 7" xfId="41353"/>
    <cellStyle name="Normal 145 65" xfId="9173"/>
    <cellStyle name="Normal 145 65 2" xfId="16254"/>
    <cellStyle name="Normal 145 65 3" xfId="21371"/>
    <cellStyle name="Normal 145 65 4" xfId="26414"/>
    <cellStyle name="Normal 145 65 5" xfId="31375"/>
    <cellStyle name="Normal 145 65 6" xfId="36233"/>
    <cellStyle name="Normal 145 65 7" xfId="40964"/>
    <cellStyle name="Normal 145 66" xfId="9248"/>
    <cellStyle name="Normal 145 66 2" xfId="16329"/>
    <cellStyle name="Normal 145 66 3" xfId="21446"/>
    <cellStyle name="Normal 145 66 4" xfId="26489"/>
    <cellStyle name="Normal 145 66 5" xfId="31450"/>
    <cellStyle name="Normal 145 66 6" xfId="36308"/>
    <cellStyle name="Normal 145 66 7" xfId="41039"/>
    <cellStyle name="Normal 145 67" xfId="9567"/>
    <cellStyle name="Normal 145 67 2" xfId="16648"/>
    <cellStyle name="Normal 145 67 3" xfId="21765"/>
    <cellStyle name="Normal 145 67 4" xfId="26808"/>
    <cellStyle name="Normal 145 67 5" xfId="31769"/>
    <cellStyle name="Normal 145 67 6" xfId="36627"/>
    <cellStyle name="Normal 145 67 7" xfId="41358"/>
    <cellStyle name="Normal 145 68" xfId="9210"/>
    <cellStyle name="Normal 145 68 2" xfId="16291"/>
    <cellStyle name="Normal 145 68 3" xfId="21408"/>
    <cellStyle name="Normal 145 68 4" xfId="26451"/>
    <cellStyle name="Normal 145 68 5" xfId="31412"/>
    <cellStyle name="Normal 145 68 6" xfId="36270"/>
    <cellStyle name="Normal 145 68 7" xfId="41001"/>
    <cellStyle name="Normal 145 69" xfId="9416"/>
    <cellStyle name="Normal 145 69 2" xfId="16497"/>
    <cellStyle name="Normal 145 69 3" xfId="21614"/>
    <cellStyle name="Normal 145 69 4" xfId="26657"/>
    <cellStyle name="Normal 145 69 5" xfId="31618"/>
    <cellStyle name="Normal 145 69 6" xfId="36476"/>
    <cellStyle name="Normal 145 69 7" xfId="41207"/>
    <cellStyle name="Normal 145 7" xfId="4617"/>
    <cellStyle name="Normal 145 7 2" xfId="5989"/>
    <cellStyle name="Normal 145 7 3" xfId="18092"/>
    <cellStyle name="Normal 145 7 4" xfId="23135"/>
    <cellStyle name="Normal 145 7 5" xfId="28096"/>
    <cellStyle name="Normal 145 7 6" xfId="32954"/>
    <cellStyle name="Normal 145 7 7" xfId="37685"/>
    <cellStyle name="Normal 145 70" xfId="9536"/>
    <cellStyle name="Normal 145 70 2" xfId="16617"/>
    <cellStyle name="Normal 145 70 3" xfId="21734"/>
    <cellStyle name="Normal 145 70 4" xfId="26777"/>
    <cellStyle name="Normal 145 70 5" xfId="31738"/>
    <cellStyle name="Normal 145 70 6" xfId="36596"/>
    <cellStyle name="Normal 145 70 7" xfId="41327"/>
    <cellStyle name="Normal 145 71" xfId="9305"/>
    <cellStyle name="Normal 145 71 2" xfId="16386"/>
    <cellStyle name="Normal 145 71 3" xfId="21503"/>
    <cellStyle name="Normal 145 71 4" xfId="26546"/>
    <cellStyle name="Normal 145 71 5" xfId="31507"/>
    <cellStyle name="Normal 145 71 6" xfId="36365"/>
    <cellStyle name="Normal 145 71 7" xfId="41096"/>
    <cellStyle name="Normal 145 72" xfId="9509"/>
    <cellStyle name="Normal 145 72 2" xfId="16590"/>
    <cellStyle name="Normal 145 72 3" xfId="21707"/>
    <cellStyle name="Normal 145 72 4" xfId="26750"/>
    <cellStyle name="Normal 145 72 5" xfId="31711"/>
    <cellStyle name="Normal 145 72 6" xfId="36569"/>
    <cellStyle name="Normal 145 72 7" xfId="41300"/>
    <cellStyle name="Normal 145 73" xfId="9512"/>
    <cellStyle name="Normal 145 73 2" xfId="16593"/>
    <cellStyle name="Normal 145 73 3" xfId="21710"/>
    <cellStyle name="Normal 145 73 4" xfId="26753"/>
    <cellStyle name="Normal 145 73 5" xfId="31714"/>
    <cellStyle name="Normal 145 73 6" xfId="36572"/>
    <cellStyle name="Normal 145 73 7" xfId="41303"/>
    <cellStyle name="Normal 145 74" xfId="9454"/>
    <cellStyle name="Normal 145 74 2" xfId="16535"/>
    <cellStyle name="Normal 145 74 3" xfId="21652"/>
    <cellStyle name="Normal 145 74 4" xfId="26695"/>
    <cellStyle name="Normal 145 74 5" xfId="31656"/>
    <cellStyle name="Normal 145 74 6" xfId="36514"/>
    <cellStyle name="Normal 145 74 7" xfId="41245"/>
    <cellStyle name="Normal 145 75" xfId="9968"/>
    <cellStyle name="Normal 145 75 2" xfId="17049"/>
    <cellStyle name="Normal 145 75 3" xfId="22166"/>
    <cellStyle name="Normal 145 75 4" xfId="27209"/>
    <cellStyle name="Normal 145 75 5" xfId="32170"/>
    <cellStyle name="Normal 145 75 6" xfId="37028"/>
    <cellStyle name="Normal 145 75 7" xfId="41759"/>
    <cellStyle name="Normal 145 76" xfId="9980"/>
    <cellStyle name="Normal 145 76 2" xfId="17061"/>
    <cellStyle name="Normal 145 76 3" xfId="22178"/>
    <cellStyle name="Normal 145 76 4" xfId="27221"/>
    <cellStyle name="Normal 145 76 5" xfId="32182"/>
    <cellStyle name="Normal 145 76 6" xfId="37040"/>
    <cellStyle name="Normal 145 76 7" xfId="41771"/>
    <cellStyle name="Normal 145 77" xfId="9775"/>
    <cellStyle name="Normal 145 77 2" xfId="16856"/>
    <cellStyle name="Normal 145 77 3" xfId="21973"/>
    <cellStyle name="Normal 145 77 4" xfId="27016"/>
    <cellStyle name="Normal 145 77 5" xfId="31977"/>
    <cellStyle name="Normal 145 77 6" xfId="36835"/>
    <cellStyle name="Normal 145 77 7" xfId="41566"/>
    <cellStyle name="Normal 145 78" xfId="9813"/>
    <cellStyle name="Normal 145 78 2" xfId="16894"/>
    <cellStyle name="Normal 145 78 3" xfId="22011"/>
    <cellStyle name="Normal 145 78 4" xfId="27054"/>
    <cellStyle name="Normal 145 78 5" xfId="32015"/>
    <cellStyle name="Normal 145 78 6" xfId="36873"/>
    <cellStyle name="Normal 145 78 7" xfId="41604"/>
    <cellStyle name="Normal 145 79" xfId="9983"/>
    <cellStyle name="Normal 145 79 2" xfId="17064"/>
    <cellStyle name="Normal 145 79 3" xfId="22181"/>
    <cellStyle name="Normal 145 79 4" xfId="27224"/>
    <cellStyle name="Normal 145 79 5" xfId="32185"/>
    <cellStyle name="Normal 145 79 6" xfId="37043"/>
    <cellStyle name="Normal 145 79 7" xfId="41774"/>
    <cellStyle name="Normal 145 8" xfId="4622"/>
    <cellStyle name="Normal 145 8 2" xfId="6241"/>
    <cellStyle name="Normal 145 8 3" xfId="18345"/>
    <cellStyle name="Normal 145 8 4" xfId="23388"/>
    <cellStyle name="Normal 145 8 5" xfId="28349"/>
    <cellStyle name="Normal 145 8 6" xfId="33207"/>
    <cellStyle name="Normal 145 8 7" xfId="37938"/>
    <cellStyle name="Normal 145 80" xfId="9789"/>
    <cellStyle name="Normal 145 80 2" xfId="16870"/>
    <cellStyle name="Normal 145 80 3" xfId="21987"/>
    <cellStyle name="Normal 145 80 4" xfId="27030"/>
    <cellStyle name="Normal 145 80 5" xfId="31991"/>
    <cellStyle name="Normal 145 80 6" xfId="36849"/>
    <cellStyle name="Normal 145 80 7" xfId="41580"/>
    <cellStyle name="Normal 145 81" xfId="10298"/>
    <cellStyle name="Normal 145 81 2" xfId="17379"/>
    <cellStyle name="Normal 145 81 3" xfId="22496"/>
    <cellStyle name="Normal 145 81 4" xfId="27539"/>
    <cellStyle name="Normal 145 81 5" xfId="32500"/>
    <cellStyle name="Normal 145 81 6" xfId="37358"/>
    <cellStyle name="Normal 145 81 7" xfId="42089"/>
    <cellStyle name="Normal 145 82" xfId="10310"/>
    <cellStyle name="Normal 145 82 2" xfId="17391"/>
    <cellStyle name="Normal 145 82 3" xfId="22508"/>
    <cellStyle name="Normal 145 82 4" xfId="27551"/>
    <cellStyle name="Normal 145 82 5" xfId="32512"/>
    <cellStyle name="Normal 145 82 6" xfId="37370"/>
    <cellStyle name="Normal 145 82 7" xfId="42101"/>
    <cellStyle name="Normal 145 83" xfId="10105"/>
    <cellStyle name="Normal 145 83 2" xfId="17186"/>
    <cellStyle name="Normal 145 83 3" xfId="22303"/>
    <cellStyle name="Normal 145 83 4" xfId="27346"/>
    <cellStyle name="Normal 145 83 5" xfId="32307"/>
    <cellStyle name="Normal 145 83 6" xfId="37165"/>
    <cellStyle name="Normal 145 83 7" xfId="41896"/>
    <cellStyle name="Normal 145 84" xfId="10143"/>
    <cellStyle name="Normal 145 84 2" xfId="17224"/>
    <cellStyle name="Normal 145 84 3" xfId="22341"/>
    <cellStyle name="Normal 145 84 4" xfId="27384"/>
    <cellStyle name="Normal 145 84 5" xfId="32345"/>
    <cellStyle name="Normal 145 84 6" xfId="37203"/>
    <cellStyle name="Normal 145 84 7" xfId="41934"/>
    <cellStyle name="Normal 145 85" xfId="10313"/>
    <cellStyle name="Normal 145 85 2" xfId="17394"/>
    <cellStyle name="Normal 145 85 3" xfId="22511"/>
    <cellStyle name="Normal 145 85 4" xfId="27554"/>
    <cellStyle name="Normal 145 85 5" xfId="32515"/>
    <cellStyle name="Normal 145 85 6" xfId="37373"/>
    <cellStyle name="Normal 145 85 7" xfId="42104"/>
    <cellStyle name="Normal 145 86" xfId="10119"/>
    <cellStyle name="Normal 145 86 2" xfId="17200"/>
    <cellStyle name="Normal 145 86 3" xfId="22317"/>
    <cellStyle name="Normal 145 86 4" xfId="27360"/>
    <cellStyle name="Normal 145 86 5" xfId="32321"/>
    <cellStyle name="Normal 145 86 6" xfId="37179"/>
    <cellStyle name="Normal 145 86 7" xfId="41910"/>
    <cellStyle name="Normal 145 87" xfId="13867"/>
    <cellStyle name="Normal 145 88" xfId="17602"/>
    <cellStyle name="Normal 145 89" xfId="22695"/>
    <cellStyle name="Normal 145 9" xfId="4613"/>
    <cellStyle name="Normal 145 9 2" xfId="6403"/>
    <cellStyle name="Normal 145 9 3" xfId="18513"/>
    <cellStyle name="Normal 145 9 4" xfId="23556"/>
    <cellStyle name="Normal 145 9 5" xfId="28517"/>
    <cellStyle name="Normal 145 9 6" xfId="33375"/>
    <cellStyle name="Normal 145 9 7" xfId="38106"/>
    <cellStyle name="Normal 145 90" xfId="27711"/>
    <cellStyle name="Normal 145 91" xfId="32637"/>
    <cellStyle name="Normal 145 92" xfId="37459"/>
    <cellStyle name="Normal 146" xfId="4174"/>
    <cellStyle name="Normal 146 10" xfId="4715"/>
    <cellStyle name="Normal 146 10 2" xfId="6590"/>
    <cellStyle name="Normal 146 10 3" xfId="18708"/>
    <cellStyle name="Normal 146 10 4" xfId="23751"/>
    <cellStyle name="Normal 146 10 5" xfId="28712"/>
    <cellStyle name="Normal 146 10 6" xfId="33570"/>
    <cellStyle name="Normal 146 10 7" xfId="38301"/>
    <cellStyle name="Normal 146 11" xfId="4932"/>
    <cellStyle name="Normal 146 11 2" xfId="6600"/>
    <cellStyle name="Normal 146 11 3" xfId="18718"/>
    <cellStyle name="Normal 146 11 4" xfId="23761"/>
    <cellStyle name="Normal 146 11 5" xfId="28722"/>
    <cellStyle name="Normal 146 11 6" xfId="33580"/>
    <cellStyle name="Normal 146 11 7" xfId="38311"/>
    <cellStyle name="Normal 146 12" xfId="4942"/>
    <cellStyle name="Normal 146 12 2" xfId="6610"/>
    <cellStyle name="Normal 146 12 3" xfId="18728"/>
    <cellStyle name="Normal 146 12 4" xfId="23771"/>
    <cellStyle name="Normal 146 12 5" xfId="28732"/>
    <cellStyle name="Normal 146 12 6" xfId="33590"/>
    <cellStyle name="Normal 146 12 7" xfId="38321"/>
    <cellStyle name="Normal 146 13" xfId="4952"/>
    <cellStyle name="Normal 146 13 2" xfId="6620"/>
    <cellStyle name="Normal 146 13 3" xfId="18738"/>
    <cellStyle name="Normal 146 13 4" xfId="23781"/>
    <cellStyle name="Normal 146 13 5" xfId="28742"/>
    <cellStyle name="Normal 146 13 6" xfId="33600"/>
    <cellStyle name="Normal 146 13 7" xfId="38331"/>
    <cellStyle name="Normal 146 14" xfId="4960"/>
    <cellStyle name="Normal 146 14 2" xfId="6630"/>
    <cellStyle name="Normal 146 14 3" xfId="18748"/>
    <cellStyle name="Normal 146 14 4" xfId="23791"/>
    <cellStyle name="Normal 146 14 5" xfId="28752"/>
    <cellStyle name="Normal 146 14 6" xfId="33610"/>
    <cellStyle name="Normal 146 14 7" xfId="38341"/>
    <cellStyle name="Normal 146 15" xfId="5152"/>
    <cellStyle name="Normal 146 15 2" xfId="6640"/>
    <cellStyle name="Normal 146 15 3" xfId="18758"/>
    <cellStyle name="Normal 146 15 4" xfId="23801"/>
    <cellStyle name="Normal 146 15 5" xfId="28762"/>
    <cellStyle name="Normal 146 15 6" xfId="33620"/>
    <cellStyle name="Normal 146 15 7" xfId="38351"/>
    <cellStyle name="Normal 146 16" xfId="5162"/>
    <cellStyle name="Normal 146 16 2" xfId="6650"/>
    <cellStyle name="Normal 146 16 3" xfId="18768"/>
    <cellStyle name="Normal 146 16 4" xfId="23811"/>
    <cellStyle name="Normal 146 16 5" xfId="28772"/>
    <cellStyle name="Normal 146 16 6" xfId="33630"/>
    <cellStyle name="Normal 146 16 7" xfId="38361"/>
    <cellStyle name="Normal 146 17" xfId="5172"/>
    <cellStyle name="Normal 146 17 2" xfId="6658"/>
    <cellStyle name="Normal 146 17 3" xfId="18776"/>
    <cellStyle name="Normal 146 17 4" xfId="23819"/>
    <cellStyle name="Normal 146 17 5" xfId="28780"/>
    <cellStyle name="Normal 146 17 6" xfId="33638"/>
    <cellStyle name="Normal 146 17 7" xfId="38369"/>
    <cellStyle name="Normal 146 18" xfId="5180"/>
    <cellStyle name="Normal 146 18 2" xfId="6848"/>
    <cellStyle name="Normal 146 18 3" xfId="18969"/>
    <cellStyle name="Normal 146 18 4" xfId="24012"/>
    <cellStyle name="Normal 146 18 5" xfId="28973"/>
    <cellStyle name="Normal 146 18 6" xfId="33831"/>
    <cellStyle name="Normal 146 18 7" xfId="38562"/>
    <cellStyle name="Normal 146 19" xfId="5603"/>
    <cellStyle name="Normal 146 19 2" xfId="6858"/>
    <cellStyle name="Normal 146 19 3" xfId="18979"/>
    <cellStyle name="Normal 146 19 4" xfId="24022"/>
    <cellStyle name="Normal 146 19 5" xfId="28983"/>
    <cellStyle name="Normal 146 19 6" xfId="33841"/>
    <cellStyle name="Normal 146 19 7" xfId="38572"/>
    <cellStyle name="Normal 146 2" xfId="4361"/>
    <cellStyle name="Normal 146 2 2" xfId="5801"/>
    <cellStyle name="Normal 146 2 3" xfId="18605"/>
    <cellStyle name="Normal 146 2 4" xfId="23648"/>
    <cellStyle name="Normal 146 2 5" xfId="28609"/>
    <cellStyle name="Normal 146 2 6" xfId="33467"/>
    <cellStyle name="Normal 146 2 7" xfId="38198"/>
    <cellStyle name="Normal 146 20" xfId="5614"/>
    <cellStyle name="Normal 146 20 2" xfId="6868"/>
    <cellStyle name="Normal 146 20 3" xfId="18989"/>
    <cellStyle name="Normal 146 20 4" xfId="24032"/>
    <cellStyle name="Normal 146 20 5" xfId="28993"/>
    <cellStyle name="Normal 146 20 6" xfId="33851"/>
    <cellStyle name="Normal 146 20 7" xfId="38582"/>
    <cellStyle name="Normal 146 21" xfId="5624"/>
    <cellStyle name="Normal 146 21 2" xfId="6876"/>
    <cellStyle name="Normal 146 21 3" xfId="18997"/>
    <cellStyle name="Normal 146 21 4" xfId="24040"/>
    <cellStyle name="Normal 146 21 5" xfId="29001"/>
    <cellStyle name="Normal 146 21 6" xfId="33859"/>
    <cellStyle name="Normal 146 21 7" xfId="38590"/>
    <cellStyle name="Normal 146 22" xfId="5634"/>
    <cellStyle name="Normal 146 22 2" xfId="7372"/>
    <cellStyle name="Normal 146 22 3" xfId="19545"/>
    <cellStyle name="Normal 146 22 4" xfId="24588"/>
    <cellStyle name="Normal 146 22 5" xfId="29549"/>
    <cellStyle name="Normal 146 22 6" xfId="34407"/>
    <cellStyle name="Normal 146 22 7" xfId="39138"/>
    <cellStyle name="Normal 146 23" xfId="5644"/>
    <cellStyle name="Normal 146 23 2" xfId="7384"/>
    <cellStyle name="Normal 146 23 3" xfId="19557"/>
    <cellStyle name="Normal 146 23 4" xfId="24600"/>
    <cellStyle name="Normal 146 23 5" xfId="29561"/>
    <cellStyle name="Normal 146 23 6" xfId="34419"/>
    <cellStyle name="Normal 146 23 7" xfId="39150"/>
    <cellStyle name="Normal 146 24" xfId="5654"/>
    <cellStyle name="Normal 146 24 2" xfId="7396"/>
    <cellStyle name="Normal 146 24 3" xfId="19569"/>
    <cellStyle name="Normal 146 24 4" xfId="24612"/>
    <cellStyle name="Normal 146 24 5" xfId="29573"/>
    <cellStyle name="Normal 146 24 6" xfId="34431"/>
    <cellStyle name="Normal 146 24 7" xfId="39162"/>
    <cellStyle name="Normal 146 25" xfId="5664"/>
    <cellStyle name="Normal 146 25 2" xfId="7407"/>
    <cellStyle name="Normal 146 25 3" xfId="19580"/>
    <cellStyle name="Normal 146 25 4" xfId="24623"/>
    <cellStyle name="Normal 146 25 5" xfId="29584"/>
    <cellStyle name="Normal 146 25 6" xfId="34442"/>
    <cellStyle name="Normal 146 25 7" xfId="39173"/>
    <cellStyle name="Normal 146 26" xfId="5674"/>
    <cellStyle name="Normal 146 26 2" xfId="7417"/>
    <cellStyle name="Normal 146 26 3" xfId="19590"/>
    <cellStyle name="Normal 146 26 4" xfId="24633"/>
    <cellStyle name="Normal 146 26 5" xfId="29594"/>
    <cellStyle name="Normal 146 26 6" xfId="34452"/>
    <cellStyle name="Normal 146 26 7" xfId="39183"/>
    <cellStyle name="Normal 146 27" xfId="5682"/>
    <cellStyle name="Normal 146 27 2" xfId="7425"/>
    <cellStyle name="Normal 146 27 3" xfId="19600"/>
    <cellStyle name="Normal 146 27 4" xfId="24643"/>
    <cellStyle name="Normal 146 27 5" xfId="29604"/>
    <cellStyle name="Normal 146 27 6" xfId="34462"/>
    <cellStyle name="Normal 146 27 7" xfId="39193"/>
    <cellStyle name="Normal 146 28" xfId="5693"/>
    <cellStyle name="Normal 146 28 2" xfId="14493"/>
    <cellStyle name="Normal 146 28 3" xfId="19610"/>
    <cellStyle name="Normal 146 28 4" xfId="24653"/>
    <cellStyle name="Normal 146 28 5" xfId="29614"/>
    <cellStyle name="Normal 146 28 6" xfId="34472"/>
    <cellStyle name="Normal 146 28 7" xfId="39203"/>
    <cellStyle name="Normal 146 29" xfId="5688"/>
    <cellStyle name="Normal 146 29 2" xfId="14503"/>
    <cellStyle name="Normal 146 29 3" xfId="19620"/>
    <cellStyle name="Normal 146 29 4" xfId="24663"/>
    <cellStyle name="Normal 146 29 5" xfId="29624"/>
    <cellStyle name="Normal 146 29 6" xfId="34482"/>
    <cellStyle name="Normal 146 29 7" xfId="39213"/>
    <cellStyle name="Normal 146 3" xfId="4369"/>
    <cellStyle name="Normal 146 3 2" xfId="6503"/>
    <cellStyle name="Normal 146 3 3" xfId="18621"/>
    <cellStyle name="Normal 146 3 4" xfId="23664"/>
    <cellStyle name="Normal 146 3 5" xfId="28625"/>
    <cellStyle name="Normal 146 3 6" xfId="33483"/>
    <cellStyle name="Normal 146 3 7" xfId="38214"/>
    <cellStyle name="Normal 146 30" xfId="7439"/>
    <cellStyle name="Normal 146 30 2" xfId="14513"/>
    <cellStyle name="Normal 146 30 3" xfId="19630"/>
    <cellStyle name="Normal 146 30 4" xfId="24673"/>
    <cellStyle name="Normal 146 30 5" xfId="29634"/>
    <cellStyle name="Normal 146 30 6" xfId="34492"/>
    <cellStyle name="Normal 146 30 7" xfId="39223"/>
    <cellStyle name="Normal 146 31" xfId="7449"/>
    <cellStyle name="Normal 146 31 2" xfId="14523"/>
    <cellStyle name="Normal 146 31 3" xfId="19640"/>
    <cellStyle name="Normal 146 31 4" xfId="24683"/>
    <cellStyle name="Normal 146 31 5" xfId="29644"/>
    <cellStyle name="Normal 146 31 6" xfId="34502"/>
    <cellStyle name="Normal 146 31 7" xfId="39233"/>
    <cellStyle name="Normal 146 32" xfId="7459"/>
    <cellStyle name="Normal 146 32 2" xfId="14533"/>
    <cellStyle name="Normal 146 32 3" xfId="19650"/>
    <cellStyle name="Normal 146 32 4" xfId="24693"/>
    <cellStyle name="Normal 146 32 5" xfId="29654"/>
    <cellStyle name="Normal 146 32 6" xfId="34512"/>
    <cellStyle name="Normal 146 32 7" xfId="39243"/>
    <cellStyle name="Normal 146 33" xfId="7467"/>
    <cellStyle name="Normal 146 33 2" xfId="14541"/>
    <cellStyle name="Normal 146 33 3" xfId="19658"/>
    <cellStyle name="Normal 146 33 4" xfId="24701"/>
    <cellStyle name="Normal 146 33 5" xfId="29662"/>
    <cellStyle name="Normal 146 33 6" xfId="34520"/>
    <cellStyle name="Normal 146 33 7" xfId="39251"/>
    <cellStyle name="Normal 146 34" xfId="8094"/>
    <cellStyle name="Normal 146 34 2" xfId="15174"/>
    <cellStyle name="Normal 146 34 3" xfId="20291"/>
    <cellStyle name="Normal 146 34 4" xfId="25334"/>
    <cellStyle name="Normal 146 34 5" xfId="30295"/>
    <cellStyle name="Normal 146 34 6" xfId="35153"/>
    <cellStyle name="Normal 146 34 7" xfId="39884"/>
    <cellStyle name="Normal 146 35" xfId="8108"/>
    <cellStyle name="Normal 146 35 2" xfId="15188"/>
    <cellStyle name="Normal 146 35 3" xfId="20305"/>
    <cellStyle name="Normal 146 35 4" xfId="25348"/>
    <cellStyle name="Normal 146 35 5" xfId="30309"/>
    <cellStyle name="Normal 146 35 6" xfId="35167"/>
    <cellStyle name="Normal 146 35 7" xfId="39898"/>
    <cellStyle name="Normal 146 36" xfId="8121"/>
    <cellStyle name="Normal 146 36 2" xfId="15201"/>
    <cellStyle name="Normal 146 36 3" xfId="20318"/>
    <cellStyle name="Normal 146 36 4" xfId="25361"/>
    <cellStyle name="Normal 146 36 5" xfId="30322"/>
    <cellStyle name="Normal 146 36 6" xfId="35180"/>
    <cellStyle name="Normal 146 36 7" xfId="39911"/>
    <cellStyle name="Normal 146 37" xfId="8133"/>
    <cellStyle name="Normal 146 37 2" xfId="15213"/>
    <cellStyle name="Normal 146 37 3" xfId="20330"/>
    <cellStyle name="Normal 146 37 4" xfId="25373"/>
    <cellStyle name="Normal 146 37 5" xfId="30334"/>
    <cellStyle name="Normal 146 37 6" xfId="35192"/>
    <cellStyle name="Normal 146 37 7" xfId="39923"/>
    <cellStyle name="Normal 146 38" xfId="8145"/>
    <cellStyle name="Normal 146 38 2" xfId="15225"/>
    <cellStyle name="Normal 146 38 3" xfId="20342"/>
    <cellStyle name="Normal 146 38 4" xfId="25385"/>
    <cellStyle name="Normal 146 38 5" xfId="30346"/>
    <cellStyle name="Normal 146 38 6" xfId="35204"/>
    <cellStyle name="Normal 146 38 7" xfId="39935"/>
    <cellStyle name="Normal 146 39" xfId="8156"/>
    <cellStyle name="Normal 146 39 2" xfId="15236"/>
    <cellStyle name="Normal 146 39 3" xfId="20353"/>
    <cellStyle name="Normal 146 39 4" xfId="25396"/>
    <cellStyle name="Normal 146 39 5" xfId="30357"/>
    <cellStyle name="Normal 146 39 6" xfId="35215"/>
    <cellStyle name="Normal 146 39 7" xfId="39946"/>
    <cellStyle name="Normal 146 4" xfId="4377"/>
    <cellStyle name="Normal 146 4 2" xfId="6518"/>
    <cellStyle name="Normal 146 4 3" xfId="18636"/>
    <cellStyle name="Normal 146 4 4" xfId="23679"/>
    <cellStyle name="Normal 146 4 5" xfId="28640"/>
    <cellStyle name="Normal 146 4 6" xfId="33498"/>
    <cellStyle name="Normal 146 4 7" xfId="38229"/>
    <cellStyle name="Normal 146 40" xfId="8166"/>
    <cellStyle name="Normal 146 40 2" xfId="15246"/>
    <cellStyle name="Normal 146 40 3" xfId="20363"/>
    <cellStyle name="Normal 146 40 4" xfId="25406"/>
    <cellStyle name="Normal 146 40 5" xfId="30367"/>
    <cellStyle name="Normal 146 40 6" xfId="35225"/>
    <cellStyle name="Normal 146 40 7" xfId="39956"/>
    <cellStyle name="Normal 146 41" xfId="8176"/>
    <cellStyle name="Normal 146 41 2" xfId="15256"/>
    <cellStyle name="Normal 146 41 3" xfId="20373"/>
    <cellStyle name="Normal 146 41 4" xfId="25416"/>
    <cellStyle name="Normal 146 41 5" xfId="30377"/>
    <cellStyle name="Normal 146 41 6" xfId="35235"/>
    <cellStyle name="Normal 146 41 7" xfId="39966"/>
    <cellStyle name="Normal 146 42" xfId="8186"/>
    <cellStyle name="Normal 146 42 2" xfId="15266"/>
    <cellStyle name="Normal 146 42 3" xfId="20383"/>
    <cellStyle name="Normal 146 42 4" xfId="25426"/>
    <cellStyle name="Normal 146 42 5" xfId="30387"/>
    <cellStyle name="Normal 146 42 6" xfId="35245"/>
    <cellStyle name="Normal 146 42 7" xfId="39976"/>
    <cellStyle name="Normal 146 43" xfId="8196"/>
    <cellStyle name="Normal 146 43 2" xfId="15276"/>
    <cellStyle name="Normal 146 43 3" xfId="20393"/>
    <cellStyle name="Normal 146 43 4" xfId="25436"/>
    <cellStyle name="Normal 146 43 5" xfId="30397"/>
    <cellStyle name="Normal 146 43 6" xfId="35255"/>
    <cellStyle name="Normal 146 43 7" xfId="39986"/>
    <cellStyle name="Normal 146 44" xfId="8206"/>
    <cellStyle name="Normal 146 44 2" xfId="15286"/>
    <cellStyle name="Normal 146 44 3" xfId="20403"/>
    <cellStyle name="Normal 146 44 4" xfId="25446"/>
    <cellStyle name="Normal 146 44 5" xfId="30407"/>
    <cellStyle name="Normal 146 44 6" xfId="35265"/>
    <cellStyle name="Normal 146 44 7" xfId="39996"/>
    <cellStyle name="Normal 146 45" xfId="8216"/>
    <cellStyle name="Normal 146 45 2" xfId="15296"/>
    <cellStyle name="Normal 146 45 3" xfId="20413"/>
    <cellStyle name="Normal 146 45 4" xfId="25456"/>
    <cellStyle name="Normal 146 45 5" xfId="30417"/>
    <cellStyle name="Normal 146 45 6" xfId="35275"/>
    <cellStyle name="Normal 146 45 7" xfId="40006"/>
    <cellStyle name="Normal 146 46" xfId="8226"/>
    <cellStyle name="Normal 146 46 2" xfId="15306"/>
    <cellStyle name="Normal 146 46 3" xfId="20423"/>
    <cellStyle name="Normal 146 46 4" xfId="25466"/>
    <cellStyle name="Normal 146 46 5" xfId="30427"/>
    <cellStyle name="Normal 146 46 6" xfId="35285"/>
    <cellStyle name="Normal 146 46 7" xfId="40016"/>
    <cellStyle name="Normal 146 47" xfId="8234"/>
    <cellStyle name="Normal 146 47 2" xfId="15314"/>
    <cellStyle name="Normal 146 47 3" xfId="20431"/>
    <cellStyle name="Normal 146 47 4" xfId="25474"/>
    <cellStyle name="Normal 146 47 5" xfId="30435"/>
    <cellStyle name="Normal 146 47 6" xfId="35293"/>
    <cellStyle name="Normal 146 47 7" xfId="40024"/>
    <cellStyle name="Normal 146 48" xfId="8892"/>
    <cellStyle name="Normal 146 48 2" xfId="15973"/>
    <cellStyle name="Normal 146 48 3" xfId="21090"/>
    <cellStyle name="Normal 146 48 4" xfId="26133"/>
    <cellStyle name="Normal 146 48 5" xfId="31094"/>
    <cellStyle name="Normal 146 48 6" xfId="35952"/>
    <cellStyle name="Normal 146 48 7" xfId="40683"/>
    <cellStyle name="Normal 146 49" xfId="8905"/>
    <cellStyle name="Normal 146 49 2" xfId="15986"/>
    <cellStyle name="Normal 146 49 3" xfId="21103"/>
    <cellStyle name="Normal 146 49 4" xfId="26146"/>
    <cellStyle name="Normal 146 49 5" xfId="31107"/>
    <cellStyle name="Normal 146 49 6" xfId="35965"/>
    <cellStyle name="Normal 146 49 7" xfId="40696"/>
    <cellStyle name="Normal 146 5" xfId="4433"/>
    <cellStyle name="Normal 146 5 2" xfId="6532"/>
    <cellStyle name="Normal 146 5 3" xfId="18650"/>
    <cellStyle name="Normal 146 5 4" xfId="23693"/>
    <cellStyle name="Normal 146 5 5" xfId="28654"/>
    <cellStyle name="Normal 146 5 6" xfId="33512"/>
    <cellStyle name="Normal 146 5 7" xfId="38243"/>
    <cellStyle name="Normal 146 50" xfId="8919"/>
    <cellStyle name="Normal 146 50 2" xfId="16000"/>
    <cellStyle name="Normal 146 50 3" xfId="21117"/>
    <cellStyle name="Normal 146 50 4" xfId="26160"/>
    <cellStyle name="Normal 146 50 5" xfId="31121"/>
    <cellStyle name="Normal 146 50 6" xfId="35979"/>
    <cellStyle name="Normal 146 50 7" xfId="40710"/>
    <cellStyle name="Normal 146 51" xfId="8935"/>
    <cellStyle name="Normal 146 51 2" xfId="16016"/>
    <cellStyle name="Normal 146 51 3" xfId="21133"/>
    <cellStyle name="Normal 146 51 4" xfId="26176"/>
    <cellStyle name="Normal 146 51 5" xfId="31137"/>
    <cellStyle name="Normal 146 51 6" xfId="35995"/>
    <cellStyle name="Normal 146 51 7" xfId="40726"/>
    <cellStyle name="Normal 146 52" xfId="8950"/>
    <cellStyle name="Normal 146 52 2" xfId="16031"/>
    <cellStyle name="Normal 146 52 3" xfId="21148"/>
    <cellStyle name="Normal 146 52 4" xfId="26191"/>
    <cellStyle name="Normal 146 52 5" xfId="31152"/>
    <cellStyle name="Normal 146 52 6" xfId="36010"/>
    <cellStyle name="Normal 146 52 7" xfId="40741"/>
    <cellStyle name="Normal 146 53" xfId="8964"/>
    <cellStyle name="Normal 146 53 2" xfId="16045"/>
    <cellStyle name="Normal 146 53 3" xfId="21162"/>
    <cellStyle name="Normal 146 53 4" xfId="26205"/>
    <cellStyle name="Normal 146 53 5" xfId="31166"/>
    <cellStyle name="Normal 146 53 6" xfId="36024"/>
    <cellStyle name="Normal 146 53 7" xfId="40755"/>
    <cellStyle name="Normal 146 54" xfId="8978"/>
    <cellStyle name="Normal 146 54 2" xfId="16059"/>
    <cellStyle name="Normal 146 54 3" xfId="21176"/>
    <cellStyle name="Normal 146 54 4" xfId="26219"/>
    <cellStyle name="Normal 146 54 5" xfId="31180"/>
    <cellStyle name="Normal 146 54 6" xfId="36038"/>
    <cellStyle name="Normal 146 54 7" xfId="40769"/>
    <cellStyle name="Normal 146 55" xfId="8990"/>
    <cellStyle name="Normal 146 55 2" xfId="16071"/>
    <cellStyle name="Normal 146 55 3" xfId="21188"/>
    <cellStyle name="Normal 146 55 4" xfId="26231"/>
    <cellStyle name="Normal 146 55 5" xfId="31192"/>
    <cellStyle name="Normal 146 55 6" xfId="36050"/>
    <cellStyle name="Normal 146 55 7" xfId="40781"/>
    <cellStyle name="Normal 146 56" xfId="9000"/>
    <cellStyle name="Normal 146 56 2" xfId="16081"/>
    <cellStyle name="Normal 146 56 3" xfId="21198"/>
    <cellStyle name="Normal 146 56 4" xfId="26241"/>
    <cellStyle name="Normal 146 56 5" xfId="31202"/>
    <cellStyle name="Normal 146 56 6" xfId="36060"/>
    <cellStyle name="Normal 146 56 7" xfId="40791"/>
    <cellStyle name="Normal 146 57" xfId="9010"/>
    <cellStyle name="Normal 146 57 2" xfId="16091"/>
    <cellStyle name="Normal 146 57 3" xfId="21208"/>
    <cellStyle name="Normal 146 57 4" xfId="26251"/>
    <cellStyle name="Normal 146 57 5" xfId="31212"/>
    <cellStyle name="Normal 146 57 6" xfId="36070"/>
    <cellStyle name="Normal 146 57 7" xfId="40801"/>
    <cellStyle name="Normal 146 58" xfId="9020"/>
    <cellStyle name="Normal 146 58 2" xfId="16101"/>
    <cellStyle name="Normal 146 58 3" xfId="21218"/>
    <cellStyle name="Normal 146 58 4" xfId="26261"/>
    <cellStyle name="Normal 146 58 5" xfId="31222"/>
    <cellStyle name="Normal 146 58 6" xfId="36080"/>
    <cellStyle name="Normal 146 58 7" xfId="40811"/>
    <cellStyle name="Normal 146 59" xfId="9030"/>
    <cellStyle name="Normal 146 59 2" xfId="16111"/>
    <cellStyle name="Normal 146 59 3" xfId="21228"/>
    <cellStyle name="Normal 146 59 4" xfId="26271"/>
    <cellStyle name="Normal 146 59 5" xfId="31232"/>
    <cellStyle name="Normal 146 59 6" xfId="36090"/>
    <cellStyle name="Normal 146 59 7" xfId="40821"/>
    <cellStyle name="Normal 146 6" xfId="4489"/>
    <cellStyle name="Normal 146 6 2" xfId="6545"/>
    <cellStyle name="Normal 146 6 3" xfId="18663"/>
    <cellStyle name="Normal 146 6 4" xfId="23706"/>
    <cellStyle name="Normal 146 6 5" xfId="28667"/>
    <cellStyle name="Normal 146 6 6" xfId="33525"/>
    <cellStyle name="Normal 146 6 7" xfId="38256"/>
    <cellStyle name="Normal 146 60" xfId="9040"/>
    <cellStyle name="Normal 146 60 2" xfId="16121"/>
    <cellStyle name="Normal 146 60 3" xfId="21238"/>
    <cellStyle name="Normal 146 60 4" xfId="26281"/>
    <cellStyle name="Normal 146 60 5" xfId="31242"/>
    <cellStyle name="Normal 146 60 6" xfId="36100"/>
    <cellStyle name="Normal 146 60 7" xfId="40831"/>
    <cellStyle name="Normal 146 61" xfId="9050"/>
    <cellStyle name="Normal 146 61 2" xfId="16131"/>
    <cellStyle name="Normal 146 61 3" xfId="21248"/>
    <cellStyle name="Normal 146 61 4" xfId="26291"/>
    <cellStyle name="Normal 146 61 5" xfId="31252"/>
    <cellStyle name="Normal 146 61 6" xfId="36110"/>
    <cellStyle name="Normal 146 61 7" xfId="40841"/>
    <cellStyle name="Normal 146 62" xfId="9058"/>
    <cellStyle name="Normal 146 62 2" xfId="16139"/>
    <cellStyle name="Normal 146 62 3" xfId="21256"/>
    <cellStyle name="Normal 146 62 4" xfId="26299"/>
    <cellStyle name="Normal 146 62 5" xfId="31260"/>
    <cellStyle name="Normal 146 62 6" xfId="36118"/>
    <cellStyle name="Normal 146 62 7" xfId="40849"/>
    <cellStyle name="Normal 146 63" xfId="9605"/>
    <cellStyle name="Normal 146 63 2" xfId="16686"/>
    <cellStyle name="Normal 146 63 3" xfId="21803"/>
    <cellStyle name="Normal 146 63 4" xfId="26846"/>
    <cellStyle name="Normal 146 63 5" xfId="31807"/>
    <cellStyle name="Normal 146 63 6" xfId="36665"/>
    <cellStyle name="Normal 146 63 7" xfId="41396"/>
    <cellStyle name="Normal 146 64" xfId="9617"/>
    <cellStyle name="Normal 146 64 2" xfId="16698"/>
    <cellStyle name="Normal 146 64 3" xfId="21815"/>
    <cellStyle name="Normal 146 64 4" xfId="26858"/>
    <cellStyle name="Normal 146 64 5" xfId="31819"/>
    <cellStyle name="Normal 146 64 6" xfId="36677"/>
    <cellStyle name="Normal 146 64 7" xfId="41408"/>
    <cellStyle name="Normal 146 65" xfId="9629"/>
    <cellStyle name="Normal 146 65 2" xfId="16710"/>
    <cellStyle name="Normal 146 65 3" xfId="21827"/>
    <cellStyle name="Normal 146 65 4" xfId="26870"/>
    <cellStyle name="Normal 146 65 5" xfId="31831"/>
    <cellStyle name="Normal 146 65 6" xfId="36689"/>
    <cellStyle name="Normal 146 65 7" xfId="41420"/>
    <cellStyle name="Normal 146 66" xfId="9640"/>
    <cellStyle name="Normal 146 66 2" xfId="16721"/>
    <cellStyle name="Normal 146 66 3" xfId="21838"/>
    <cellStyle name="Normal 146 66 4" xfId="26881"/>
    <cellStyle name="Normal 146 66 5" xfId="31842"/>
    <cellStyle name="Normal 146 66 6" xfId="36700"/>
    <cellStyle name="Normal 146 66 7" xfId="41431"/>
    <cellStyle name="Normal 146 67" xfId="9650"/>
    <cellStyle name="Normal 146 67 2" xfId="16731"/>
    <cellStyle name="Normal 146 67 3" xfId="21848"/>
    <cellStyle name="Normal 146 67 4" xfId="26891"/>
    <cellStyle name="Normal 146 67 5" xfId="31852"/>
    <cellStyle name="Normal 146 67 6" xfId="36710"/>
    <cellStyle name="Normal 146 67 7" xfId="41441"/>
    <cellStyle name="Normal 146 68" xfId="9660"/>
    <cellStyle name="Normal 146 68 2" xfId="16741"/>
    <cellStyle name="Normal 146 68 3" xfId="21858"/>
    <cellStyle name="Normal 146 68 4" xfId="26901"/>
    <cellStyle name="Normal 146 68 5" xfId="31862"/>
    <cellStyle name="Normal 146 68 6" xfId="36720"/>
    <cellStyle name="Normal 146 68 7" xfId="41451"/>
    <cellStyle name="Normal 146 69" xfId="9670"/>
    <cellStyle name="Normal 146 69 2" xfId="16751"/>
    <cellStyle name="Normal 146 69 3" xfId="21868"/>
    <cellStyle name="Normal 146 69 4" xfId="26911"/>
    <cellStyle name="Normal 146 69 5" xfId="31872"/>
    <cellStyle name="Normal 146 69 6" xfId="36730"/>
    <cellStyle name="Normal 146 69 7" xfId="41461"/>
    <cellStyle name="Normal 146 7" xfId="4640"/>
    <cellStyle name="Normal 146 7 2" xfId="6557"/>
    <cellStyle name="Normal 146 7 3" xfId="18675"/>
    <cellStyle name="Normal 146 7 4" xfId="23718"/>
    <cellStyle name="Normal 146 7 5" xfId="28679"/>
    <cellStyle name="Normal 146 7 6" xfId="33537"/>
    <cellStyle name="Normal 146 7 7" xfId="38268"/>
    <cellStyle name="Normal 146 70" xfId="9680"/>
    <cellStyle name="Normal 146 70 2" xfId="16761"/>
    <cellStyle name="Normal 146 70 3" xfId="21878"/>
    <cellStyle name="Normal 146 70 4" xfId="26921"/>
    <cellStyle name="Normal 146 70 5" xfId="31882"/>
    <cellStyle name="Normal 146 70 6" xfId="36740"/>
    <cellStyle name="Normal 146 70 7" xfId="41471"/>
    <cellStyle name="Normal 146 71" xfId="9690"/>
    <cellStyle name="Normal 146 71 2" xfId="16771"/>
    <cellStyle name="Normal 146 71 3" xfId="21888"/>
    <cellStyle name="Normal 146 71 4" xfId="26931"/>
    <cellStyle name="Normal 146 71 5" xfId="31892"/>
    <cellStyle name="Normal 146 71 6" xfId="36750"/>
    <cellStyle name="Normal 146 71 7" xfId="41481"/>
    <cellStyle name="Normal 146 72" xfId="9700"/>
    <cellStyle name="Normal 146 72 2" xfId="16781"/>
    <cellStyle name="Normal 146 72 3" xfId="21898"/>
    <cellStyle name="Normal 146 72 4" xfId="26941"/>
    <cellStyle name="Normal 146 72 5" xfId="31902"/>
    <cellStyle name="Normal 146 72 6" xfId="36760"/>
    <cellStyle name="Normal 146 72 7" xfId="41491"/>
    <cellStyle name="Normal 146 73" xfId="9710"/>
    <cellStyle name="Normal 146 73 2" xfId="16791"/>
    <cellStyle name="Normal 146 73 3" xfId="21908"/>
    <cellStyle name="Normal 146 73 4" xfId="26951"/>
    <cellStyle name="Normal 146 73 5" xfId="31912"/>
    <cellStyle name="Normal 146 73 6" xfId="36770"/>
    <cellStyle name="Normal 146 73 7" xfId="41501"/>
    <cellStyle name="Normal 146 74" xfId="9718"/>
    <cellStyle name="Normal 146 74 2" xfId="16799"/>
    <cellStyle name="Normal 146 74 3" xfId="21916"/>
    <cellStyle name="Normal 146 74 4" xfId="26959"/>
    <cellStyle name="Normal 146 74 5" xfId="31920"/>
    <cellStyle name="Normal 146 74 6" xfId="36778"/>
    <cellStyle name="Normal 146 74 7" xfId="41509"/>
    <cellStyle name="Normal 146 75" xfId="10000"/>
    <cellStyle name="Normal 146 75 2" xfId="17081"/>
    <cellStyle name="Normal 146 75 3" xfId="22198"/>
    <cellStyle name="Normal 146 75 4" xfId="27241"/>
    <cellStyle name="Normal 146 75 5" xfId="32202"/>
    <cellStyle name="Normal 146 75 6" xfId="37060"/>
    <cellStyle name="Normal 146 75 7" xfId="41791"/>
    <cellStyle name="Normal 146 76" xfId="10010"/>
    <cellStyle name="Normal 146 76 2" xfId="17091"/>
    <cellStyle name="Normal 146 76 3" xfId="22208"/>
    <cellStyle name="Normal 146 76 4" xfId="27251"/>
    <cellStyle name="Normal 146 76 5" xfId="32212"/>
    <cellStyle name="Normal 146 76 6" xfId="37070"/>
    <cellStyle name="Normal 146 76 7" xfId="41801"/>
    <cellStyle name="Normal 146 77" xfId="10020"/>
    <cellStyle name="Normal 146 77 2" xfId="17101"/>
    <cellStyle name="Normal 146 77 3" xfId="22218"/>
    <cellStyle name="Normal 146 77 4" xfId="27261"/>
    <cellStyle name="Normal 146 77 5" xfId="32222"/>
    <cellStyle name="Normal 146 77 6" xfId="37080"/>
    <cellStyle name="Normal 146 77 7" xfId="41811"/>
    <cellStyle name="Normal 146 78" xfId="10030"/>
    <cellStyle name="Normal 146 78 2" xfId="17111"/>
    <cellStyle name="Normal 146 78 3" xfId="22228"/>
    <cellStyle name="Normal 146 78 4" xfId="27271"/>
    <cellStyle name="Normal 146 78 5" xfId="32232"/>
    <cellStyle name="Normal 146 78 6" xfId="37090"/>
    <cellStyle name="Normal 146 78 7" xfId="41821"/>
    <cellStyle name="Normal 146 79" xfId="10040"/>
    <cellStyle name="Normal 146 79 2" xfId="17121"/>
    <cellStyle name="Normal 146 79 3" xfId="22238"/>
    <cellStyle name="Normal 146 79 4" xfId="27281"/>
    <cellStyle name="Normal 146 79 5" xfId="32242"/>
    <cellStyle name="Normal 146 79 6" xfId="37100"/>
    <cellStyle name="Normal 146 79 7" xfId="41831"/>
    <cellStyle name="Normal 146 8" xfId="4648"/>
    <cellStyle name="Normal 146 8 2" xfId="6569"/>
    <cellStyle name="Normal 146 8 3" xfId="18687"/>
    <cellStyle name="Normal 146 8 4" xfId="23730"/>
    <cellStyle name="Normal 146 8 5" xfId="28691"/>
    <cellStyle name="Normal 146 8 6" xfId="33549"/>
    <cellStyle name="Normal 146 8 7" xfId="38280"/>
    <cellStyle name="Normal 146 80" xfId="10048"/>
    <cellStyle name="Normal 146 80 2" xfId="17129"/>
    <cellStyle name="Normal 146 80 3" xfId="22246"/>
    <cellStyle name="Normal 146 80 4" xfId="27289"/>
    <cellStyle name="Normal 146 80 5" xfId="32250"/>
    <cellStyle name="Normal 146 80 6" xfId="37108"/>
    <cellStyle name="Normal 146 80 7" xfId="41839"/>
    <cellStyle name="Normal 146 81" xfId="10330"/>
    <cellStyle name="Normal 146 81 2" xfId="17411"/>
    <cellStyle name="Normal 146 81 3" xfId="22528"/>
    <cellStyle name="Normal 146 81 4" xfId="27571"/>
    <cellStyle name="Normal 146 81 5" xfId="32532"/>
    <cellStyle name="Normal 146 81 6" xfId="37390"/>
    <cellStyle name="Normal 146 81 7" xfId="42121"/>
    <cellStyle name="Normal 146 82" xfId="10340"/>
    <cellStyle name="Normal 146 82 2" xfId="17421"/>
    <cellStyle name="Normal 146 82 3" xfId="22538"/>
    <cellStyle name="Normal 146 82 4" xfId="27581"/>
    <cellStyle name="Normal 146 82 5" xfId="32542"/>
    <cellStyle name="Normal 146 82 6" xfId="37400"/>
    <cellStyle name="Normal 146 82 7" xfId="42131"/>
    <cellStyle name="Normal 146 83" xfId="10350"/>
    <cellStyle name="Normal 146 83 2" xfId="17431"/>
    <cellStyle name="Normal 146 83 3" xfId="22548"/>
    <cellStyle name="Normal 146 83 4" xfId="27591"/>
    <cellStyle name="Normal 146 83 5" xfId="32552"/>
    <cellStyle name="Normal 146 83 6" xfId="37410"/>
    <cellStyle name="Normal 146 83 7" xfId="42141"/>
    <cellStyle name="Normal 146 84" xfId="10360"/>
    <cellStyle name="Normal 146 84 2" xfId="17441"/>
    <cellStyle name="Normal 146 84 3" xfId="22558"/>
    <cellStyle name="Normal 146 84 4" xfId="27601"/>
    <cellStyle name="Normal 146 84 5" xfId="32562"/>
    <cellStyle name="Normal 146 84 6" xfId="37420"/>
    <cellStyle name="Normal 146 84 7" xfId="42151"/>
    <cellStyle name="Normal 146 85" xfId="10370"/>
    <cellStyle name="Normal 146 85 2" xfId="17451"/>
    <cellStyle name="Normal 146 85 3" xfId="22568"/>
    <cellStyle name="Normal 146 85 4" xfId="27611"/>
    <cellStyle name="Normal 146 85 5" xfId="32572"/>
    <cellStyle name="Normal 146 85 6" xfId="37430"/>
    <cellStyle name="Normal 146 85 7" xfId="42161"/>
    <cellStyle name="Normal 146 86" xfId="10378"/>
    <cellStyle name="Normal 146 86 2" xfId="17459"/>
    <cellStyle name="Normal 146 86 3" xfId="22576"/>
    <cellStyle name="Normal 146 86 4" xfId="27619"/>
    <cellStyle name="Normal 146 86 5" xfId="32580"/>
    <cellStyle name="Normal 146 86 6" xfId="37438"/>
    <cellStyle name="Normal 146 86 7" xfId="42169"/>
    <cellStyle name="Normal 146 87" xfId="14196"/>
    <cellStyle name="Normal 146 88" xfId="17897"/>
    <cellStyle name="Normal 146 89" xfId="22940"/>
    <cellStyle name="Normal 146 9" xfId="4656"/>
    <cellStyle name="Normal 146 9 2" xfId="6580"/>
    <cellStyle name="Normal 146 9 3" xfId="18698"/>
    <cellStyle name="Normal 146 9 4" xfId="23741"/>
    <cellStyle name="Normal 146 9 5" xfId="28702"/>
    <cellStyle name="Normal 146 9 6" xfId="33560"/>
    <cellStyle name="Normal 146 9 7" xfId="38291"/>
    <cellStyle name="Normal 146 90" xfId="27901"/>
    <cellStyle name="Normal 146 91" xfId="32759"/>
    <cellStyle name="Normal 146 92" xfId="37490"/>
    <cellStyle name="Normal 147" xfId="4187"/>
    <cellStyle name="Normal 147 2" xfId="14212"/>
    <cellStyle name="Normal 147 3" xfId="18466"/>
    <cellStyle name="Normal 147 4" xfId="23509"/>
    <cellStyle name="Normal 147 5" xfId="28470"/>
    <cellStyle name="Normal 147 6" xfId="33328"/>
    <cellStyle name="Normal 147 7" xfId="38059"/>
    <cellStyle name="Normal 148" xfId="4181"/>
    <cellStyle name="Normal 148 2" xfId="14207"/>
    <cellStyle name="Normal 148 3" xfId="18121"/>
    <cellStyle name="Normal 148 4" xfId="23164"/>
    <cellStyle name="Normal 148 5" xfId="28125"/>
    <cellStyle name="Normal 148 6" xfId="32983"/>
    <cellStyle name="Normal 148 7" xfId="37714"/>
    <cellStyle name="Normal 149" xfId="4190"/>
    <cellStyle name="Normal 149 2" xfId="14208"/>
    <cellStyle name="Normal 149 3" xfId="18381"/>
    <cellStyle name="Normal 149 4" xfId="23424"/>
    <cellStyle name="Normal 149 5" xfId="28385"/>
    <cellStyle name="Normal 149 6" xfId="33243"/>
    <cellStyle name="Normal 149 7" xfId="37974"/>
    <cellStyle name="Normal 15" xfId="159"/>
    <cellStyle name="Normal 15 10" xfId="13751"/>
    <cellStyle name="Normal 15 11" xfId="17497"/>
    <cellStyle name="Normal 15 2" xfId="209"/>
    <cellStyle name="Normal 15 2 2" xfId="11409"/>
    <cellStyle name="Normal 15 2 3" xfId="13239"/>
    <cellStyle name="Normal 15 2 4" xfId="12064"/>
    <cellStyle name="Normal 15 2 5" xfId="11874"/>
    <cellStyle name="Normal 15 2 6" xfId="12113"/>
    <cellStyle name="Normal 15 2 7" xfId="11305"/>
    <cellStyle name="Normal 15 3" xfId="10414"/>
    <cellStyle name="Normal 15 4" xfId="10727"/>
    <cellStyle name="Normal 15 5" xfId="11011"/>
    <cellStyle name="Normal 15 6" xfId="11362"/>
    <cellStyle name="Normal 15 7" xfId="12099"/>
    <cellStyle name="Normal 15 8" xfId="13684"/>
    <cellStyle name="Normal 15 9" xfId="12860"/>
    <cellStyle name="Normal 150" xfId="4185"/>
    <cellStyle name="Normal 150 2" xfId="14213"/>
    <cellStyle name="Normal 150 3" xfId="18487"/>
    <cellStyle name="Normal 150 4" xfId="23530"/>
    <cellStyle name="Normal 150 5" xfId="28491"/>
    <cellStyle name="Normal 150 6" xfId="33349"/>
    <cellStyle name="Normal 150 7" xfId="38080"/>
    <cellStyle name="Normal 151" xfId="4180"/>
    <cellStyle name="Normal 151 2" xfId="14209"/>
    <cellStyle name="Normal 151 3" xfId="18387"/>
    <cellStyle name="Normal 151 4" xfId="23430"/>
    <cellStyle name="Normal 151 5" xfId="28391"/>
    <cellStyle name="Normal 151 6" xfId="33249"/>
    <cellStyle name="Normal 151 7" xfId="37980"/>
    <cellStyle name="Normal 152" xfId="4203"/>
    <cellStyle name="Normal 152 2" xfId="14204"/>
    <cellStyle name="Normal 152 3" xfId="17996"/>
    <cellStyle name="Normal 152 4" xfId="23039"/>
    <cellStyle name="Normal 152 5" xfId="28000"/>
    <cellStyle name="Normal 152 6" xfId="32858"/>
    <cellStyle name="Normal 152 7" xfId="37589"/>
    <cellStyle name="Normal 153" xfId="4218"/>
    <cellStyle name="Normal 153 2" xfId="14201"/>
    <cellStyle name="Normal 153 3" xfId="17911"/>
    <cellStyle name="Normal 153 4" xfId="22954"/>
    <cellStyle name="Normal 153 5" xfId="27915"/>
    <cellStyle name="Normal 153 6" xfId="32773"/>
    <cellStyle name="Normal 153 7" xfId="37504"/>
    <cellStyle name="Normal 154" xfId="4381"/>
    <cellStyle name="Normal 154 2" xfId="14211"/>
    <cellStyle name="Normal 154 3" xfId="18410"/>
    <cellStyle name="Normal 154 4" xfId="23453"/>
    <cellStyle name="Normal 154 5" xfId="28414"/>
    <cellStyle name="Normal 154 6" xfId="33272"/>
    <cellStyle name="Normal 154 7" xfId="38003"/>
    <cellStyle name="Normal 155" xfId="4437"/>
    <cellStyle name="Normal 155 2" xfId="14206"/>
    <cellStyle name="Normal 155 3" xfId="18080"/>
    <cellStyle name="Normal 155 4" xfId="23123"/>
    <cellStyle name="Normal 155 5" xfId="28084"/>
    <cellStyle name="Normal 155 6" xfId="32942"/>
    <cellStyle name="Normal 155 7" xfId="37673"/>
    <cellStyle name="Normal 156" xfId="4493"/>
    <cellStyle name="Normal 156 2" xfId="14214"/>
    <cellStyle name="Normal 156 3" xfId="18780"/>
    <cellStyle name="Normal 156 4" xfId="23823"/>
    <cellStyle name="Normal 156 5" xfId="28784"/>
    <cellStyle name="Normal 156 6" xfId="33642"/>
    <cellStyle name="Normal 156 7" xfId="38373"/>
    <cellStyle name="Normal 157" xfId="4660"/>
    <cellStyle name="Normal 157 2" xfId="6164"/>
    <cellStyle name="Normal 157 3" xfId="18268"/>
    <cellStyle name="Normal 157 4" xfId="23311"/>
    <cellStyle name="Normal 157 5" xfId="28272"/>
    <cellStyle name="Normal 157 6" xfId="33130"/>
    <cellStyle name="Normal 157 7" xfId="37861"/>
    <cellStyle name="Normal 158" xfId="4502"/>
    <cellStyle name="Normal 158 2" xfId="14216"/>
    <cellStyle name="Normal 158 3" xfId="18808"/>
    <cellStyle name="Normal 158 4" xfId="23851"/>
    <cellStyle name="Normal 158 5" xfId="28812"/>
    <cellStyle name="Normal 158 6" xfId="33670"/>
    <cellStyle name="Normal 158 7" xfId="38401"/>
    <cellStyle name="Normal 159" xfId="4661"/>
    <cellStyle name="Normal 159 2" xfId="6671"/>
    <cellStyle name="Normal 159 3" xfId="18791"/>
    <cellStyle name="Normal 159 4" xfId="23834"/>
    <cellStyle name="Normal 159 5" xfId="28795"/>
    <cellStyle name="Normal 159 6" xfId="33653"/>
    <cellStyle name="Normal 159 7" xfId="38384"/>
    <cellStyle name="Normal 16" xfId="162"/>
    <cellStyle name="Normal 16 10" xfId="13359"/>
    <cellStyle name="Normal 16 11" xfId="11842"/>
    <cellStyle name="Normal 16 2" xfId="210"/>
    <cellStyle name="Normal 16 2 2" xfId="11410"/>
    <cellStyle name="Normal 16 2 3" xfId="12436"/>
    <cellStyle name="Normal 16 2 4" xfId="12744"/>
    <cellStyle name="Normal 16 2 5" xfId="13353"/>
    <cellStyle name="Normal 16 2 6" xfId="12420"/>
    <cellStyle name="Normal 16 2 7" xfId="11762"/>
    <cellStyle name="Normal 16 3" xfId="10416"/>
    <cellStyle name="Normal 16 4" xfId="10729"/>
    <cellStyle name="Normal 16 5" xfId="11013"/>
    <cellStyle name="Normal 16 6" xfId="11365"/>
    <cellStyle name="Normal 16 7" xfId="12089"/>
    <cellStyle name="Normal 16 8" xfId="12569"/>
    <cellStyle name="Normal 16 9" xfId="12794"/>
    <cellStyle name="Normal 160" xfId="4662"/>
    <cellStyle name="Normal 160 2" xfId="6664"/>
    <cellStyle name="Normal 160 3" xfId="18784"/>
    <cellStyle name="Normal 160 4" xfId="23827"/>
    <cellStyle name="Normal 160 5" xfId="28788"/>
    <cellStyle name="Normal 160 6" xfId="33646"/>
    <cellStyle name="Normal 160 7" xfId="38377"/>
    <cellStyle name="Normal 161" xfId="4663"/>
    <cellStyle name="Normal 161 2" xfId="6880"/>
    <cellStyle name="Normal 161 3" xfId="19001"/>
    <cellStyle name="Normal 161 4" xfId="24044"/>
    <cellStyle name="Normal 161 5" xfId="29005"/>
    <cellStyle name="Normal 161 6" xfId="33863"/>
    <cellStyle name="Normal 161 7" xfId="38594"/>
    <cellStyle name="Normal 162" xfId="4719"/>
    <cellStyle name="Normal 162 2" xfId="6954"/>
    <cellStyle name="Normal 162 3" xfId="19085"/>
    <cellStyle name="Normal 162 4" xfId="24128"/>
    <cellStyle name="Normal 162 5" xfId="29089"/>
    <cellStyle name="Normal 162 6" xfId="33947"/>
    <cellStyle name="Normal 162 7" xfId="38678"/>
    <cellStyle name="Normal 163" xfId="4725"/>
    <cellStyle name="Normal 163 2" xfId="14237"/>
    <cellStyle name="Normal 163 3" xfId="19034"/>
    <cellStyle name="Normal 163 4" xfId="24077"/>
    <cellStyle name="Normal 163 5" xfId="29038"/>
    <cellStyle name="Normal 163 6" xfId="33896"/>
    <cellStyle name="Normal 163 7" xfId="38627"/>
    <cellStyle name="Normal 164" xfId="4740"/>
    <cellStyle name="Normal 164 2" xfId="14228"/>
    <cellStyle name="Normal 164 3" xfId="19017"/>
    <cellStyle name="Normal 164 4" xfId="24060"/>
    <cellStyle name="Normal 164 5" xfId="29021"/>
    <cellStyle name="Normal 164 6" xfId="33879"/>
    <cellStyle name="Normal 164 7" xfId="38610"/>
    <cellStyle name="Normal 165" xfId="4768"/>
    <cellStyle name="Normal 165 2" xfId="14406"/>
    <cellStyle name="Normal 165 3" xfId="19397"/>
    <cellStyle name="Normal 165 4" xfId="24440"/>
    <cellStyle name="Normal 165 5" xfId="29401"/>
    <cellStyle name="Normal 165 6" xfId="34259"/>
    <cellStyle name="Normal 165 7" xfId="38990"/>
    <cellStyle name="Normal 166" xfId="4750"/>
    <cellStyle name="Normal 166 2" xfId="14426"/>
    <cellStyle name="Normal 166 3" xfId="19442"/>
    <cellStyle name="Normal 166 4" xfId="24485"/>
    <cellStyle name="Normal 166 5" xfId="29446"/>
    <cellStyle name="Normal 166 6" xfId="34304"/>
    <cellStyle name="Normal 166 7" xfId="39035"/>
    <cellStyle name="Normal 167" xfId="4752"/>
    <cellStyle name="Normal 167 2" xfId="14306"/>
    <cellStyle name="Normal 167 3" xfId="19176"/>
    <cellStyle name="Normal 167 4" xfId="24219"/>
    <cellStyle name="Normal 167 5" xfId="29180"/>
    <cellStyle name="Normal 167 6" xfId="34038"/>
    <cellStyle name="Normal 167 7" xfId="38769"/>
    <cellStyle name="Normal 168" xfId="5686"/>
    <cellStyle name="Normal 168 2" xfId="7227"/>
    <cellStyle name="Normal 168 3" xfId="19385"/>
    <cellStyle name="Normal 168 4" xfId="24428"/>
    <cellStyle name="Normal 168 5" xfId="29389"/>
    <cellStyle name="Normal 168 6" xfId="34247"/>
    <cellStyle name="Normal 168 7" xfId="38978"/>
    <cellStyle name="Normal 169" xfId="42173"/>
    <cellStyle name="Normal 169 2" xfId="7288"/>
    <cellStyle name="Normal 169 3" xfId="19455"/>
    <cellStyle name="Normal 169 4" xfId="24498"/>
    <cellStyle name="Normal 169 5" xfId="29459"/>
    <cellStyle name="Normal 169 6" xfId="34317"/>
    <cellStyle name="Normal 169 7" xfId="39048"/>
    <cellStyle name="Normal 17" xfId="166"/>
    <cellStyle name="Normal 17 10" xfId="14109"/>
    <cellStyle name="Normal 17 11" xfId="17819"/>
    <cellStyle name="Normal 17 2" xfId="211"/>
    <cellStyle name="Normal 17 2 2" xfId="11411"/>
    <cellStyle name="Normal 17 2 3" xfId="14136"/>
    <cellStyle name="Normal 17 2 4" xfId="17843"/>
    <cellStyle name="Normal 17 2 5" xfId="22898"/>
    <cellStyle name="Normal 17 2 6" xfId="27866"/>
    <cellStyle name="Normal 17 2 7" xfId="32735"/>
    <cellStyle name="Normal 17 3" xfId="10418"/>
    <cellStyle name="Normal 17 4" xfId="10731"/>
    <cellStyle name="Normal 17 5" xfId="11015"/>
    <cellStyle name="Normal 17 6" xfId="11368"/>
    <cellStyle name="Normal 17 7" xfId="11856"/>
    <cellStyle name="Normal 17 8" xfId="12970"/>
    <cellStyle name="Normal 17 9" xfId="12339"/>
    <cellStyle name="Normal 170" xfId="7232"/>
    <cellStyle name="Normal 170 2" xfId="14400"/>
    <cellStyle name="Normal 170 3" xfId="19390"/>
    <cellStyle name="Normal 170 4" xfId="24433"/>
    <cellStyle name="Normal 170 5" xfId="29394"/>
    <cellStyle name="Normal 170 6" xfId="34252"/>
    <cellStyle name="Normal 170 7" xfId="38983"/>
    <cellStyle name="Normal 171" xfId="5210"/>
    <cellStyle name="Normal 171 2" xfId="14259"/>
    <cellStyle name="Normal 171 3" xfId="19080"/>
    <cellStyle name="Normal 171 4" xfId="24123"/>
    <cellStyle name="Normal 171 5" xfId="29084"/>
    <cellStyle name="Normal 171 6" xfId="33942"/>
    <cellStyle name="Normal 171 7" xfId="38673"/>
    <cellStyle name="Normal 172" xfId="5206"/>
    <cellStyle name="Normal 172 2" xfId="14225"/>
    <cellStyle name="Normal 172 3" xfId="19012"/>
    <cellStyle name="Normal 172 4" xfId="24055"/>
    <cellStyle name="Normal 172 5" xfId="29016"/>
    <cellStyle name="Normal 172 6" xfId="33874"/>
    <cellStyle name="Normal 172 7" xfId="38605"/>
    <cellStyle name="Normal 173" xfId="5258"/>
    <cellStyle name="Normal 173 2" xfId="14545"/>
    <cellStyle name="Normal 173 3" xfId="19662"/>
    <cellStyle name="Normal 173 4" xfId="24705"/>
    <cellStyle name="Normal 173 5" xfId="29666"/>
    <cellStyle name="Normal 173 6" xfId="34524"/>
    <cellStyle name="Normal 173 7" xfId="39255"/>
    <cellStyle name="Normal 174" xfId="5431"/>
    <cellStyle name="Normal 174 2" xfId="14639"/>
    <cellStyle name="Normal 174 3" xfId="19756"/>
    <cellStyle name="Normal 174 4" xfId="24799"/>
    <cellStyle name="Normal 174 5" xfId="29760"/>
    <cellStyle name="Normal 174 6" xfId="34618"/>
    <cellStyle name="Normal 174 7" xfId="39349"/>
    <cellStyle name="Normal 175" xfId="5268"/>
    <cellStyle name="Normal 175 2" xfId="14578"/>
    <cellStyle name="Normal 175 3" xfId="19695"/>
    <cellStyle name="Normal 175 4" xfId="24738"/>
    <cellStyle name="Normal 175 5" xfId="29699"/>
    <cellStyle name="Normal 175 6" xfId="34557"/>
    <cellStyle name="Normal 175 7" xfId="39288"/>
    <cellStyle name="Normal 176" xfId="5296"/>
    <cellStyle name="Normal 176 2" xfId="14560"/>
    <cellStyle name="Normal 176 3" xfId="19677"/>
    <cellStyle name="Normal 176 4" xfId="24720"/>
    <cellStyle name="Normal 176 5" xfId="29681"/>
    <cellStyle name="Normal 176 6" xfId="34539"/>
    <cellStyle name="Normal 176 7" xfId="39270"/>
    <cellStyle name="Normal 177" xfId="7913"/>
    <cellStyle name="Normal 177 2" xfId="14993"/>
    <cellStyle name="Normal 177 3" xfId="20110"/>
    <cellStyle name="Normal 177 4" xfId="25153"/>
    <cellStyle name="Normal 177 5" xfId="30114"/>
    <cellStyle name="Normal 177 6" xfId="34972"/>
    <cellStyle name="Normal 177 7" xfId="39703"/>
    <cellStyle name="Normal 178" xfId="7968"/>
    <cellStyle name="Normal 178 2" xfId="15048"/>
    <cellStyle name="Normal 178 3" xfId="20165"/>
    <cellStyle name="Normal 178 4" xfId="25208"/>
    <cellStyle name="Normal 178 5" xfId="30169"/>
    <cellStyle name="Normal 178 6" xfId="35027"/>
    <cellStyle name="Normal 178 7" xfId="39758"/>
    <cellStyle name="Normal 179" xfId="7665"/>
    <cellStyle name="Normal 179 2" xfId="14745"/>
    <cellStyle name="Normal 179 3" xfId="19862"/>
    <cellStyle name="Normal 179 4" xfId="24905"/>
    <cellStyle name="Normal 179 5" xfId="29866"/>
    <cellStyle name="Normal 179 6" xfId="34724"/>
    <cellStyle name="Normal 179 7" xfId="39455"/>
    <cellStyle name="Normal 18" xfId="169"/>
    <cellStyle name="Normal 18 10" xfId="22636"/>
    <cellStyle name="Normal 18 11" xfId="27663"/>
    <cellStyle name="Normal 18 2" xfId="212"/>
    <cellStyle name="Normal 18 2 2" xfId="11412"/>
    <cellStyle name="Normal 18 2 3" xfId="14033"/>
    <cellStyle name="Normal 18 2 4" xfId="17751"/>
    <cellStyle name="Normal 18 2 5" xfId="22821"/>
    <cellStyle name="Normal 18 2 6" xfId="27811"/>
    <cellStyle name="Normal 18 2 7" xfId="32699"/>
    <cellStyle name="Normal 18 3" xfId="10420"/>
    <cellStyle name="Normal 18 4" xfId="10733"/>
    <cellStyle name="Normal 18 5" xfId="11017"/>
    <cellStyle name="Normal 18 6" xfId="11371"/>
    <cellStyle name="Normal 18 7" xfId="11716"/>
    <cellStyle name="Normal 18 8" xfId="13796"/>
    <cellStyle name="Normal 18 9" xfId="17537"/>
    <cellStyle name="Normal 180" xfId="7897"/>
    <cellStyle name="Normal 180 2" xfId="14977"/>
    <cellStyle name="Normal 180 3" xfId="20094"/>
    <cellStyle name="Normal 180 4" xfId="25137"/>
    <cellStyle name="Normal 180 5" xfId="30098"/>
    <cellStyle name="Normal 180 6" xfId="34956"/>
    <cellStyle name="Normal 180 7" xfId="39687"/>
    <cellStyle name="Normal 181" xfId="7986"/>
    <cellStyle name="Normal 181 2" xfId="15066"/>
    <cellStyle name="Normal 181 3" xfId="20183"/>
    <cellStyle name="Normal 181 4" xfId="25226"/>
    <cellStyle name="Normal 181 5" xfId="30187"/>
    <cellStyle name="Normal 181 6" xfId="35045"/>
    <cellStyle name="Normal 181 7" xfId="39776"/>
    <cellStyle name="Normal 182" xfId="7903"/>
    <cellStyle name="Normal 182 2" xfId="14983"/>
    <cellStyle name="Normal 182 3" xfId="20100"/>
    <cellStyle name="Normal 182 4" xfId="25143"/>
    <cellStyle name="Normal 182 5" xfId="30104"/>
    <cellStyle name="Normal 182 6" xfId="34962"/>
    <cellStyle name="Normal 182 7" xfId="39693"/>
    <cellStyle name="Normal 183" xfId="7555"/>
    <cellStyle name="Normal 183 2" xfId="14634"/>
    <cellStyle name="Normal 183 3" xfId="19751"/>
    <cellStyle name="Normal 183 4" xfId="24794"/>
    <cellStyle name="Normal 183 5" xfId="29755"/>
    <cellStyle name="Normal 183 6" xfId="34613"/>
    <cellStyle name="Normal 183 7" xfId="39344"/>
    <cellStyle name="Normal 184" xfId="7480"/>
    <cellStyle name="Normal 184 2" xfId="14555"/>
    <cellStyle name="Normal 184 3" xfId="19672"/>
    <cellStyle name="Normal 184 4" xfId="24715"/>
    <cellStyle name="Normal 184 5" xfId="29676"/>
    <cellStyle name="Normal 184 6" xfId="34534"/>
    <cellStyle name="Normal 184 7" xfId="39265"/>
    <cellStyle name="Normal 185" xfId="7920"/>
    <cellStyle name="Normal 185 2" xfId="15000"/>
    <cellStyle name="Normal 185 3" xfId="20117"/>
    <cellStyle name="Normal 185 4" xfId="25160"/>
    <cellStyle name="Normal 185 5" xfId="30121"/>
    <cellStyle name="Normal 185 6" xfId="34979"/>
    <cellStyle name="Normal 185 7" xfId="39710"/>
    <cellStyle name="Normal 186" xfId="7629"/>
    <cellStyle name="Normal 186 2" xfId="14709"/>
    <cellStyle name="Normal 186 3" xfId="19826"/>
    <cellStyle name="Normal 186 4" xfId="24869"/>
    <cellStyle name="Normal 186 5" xfId="29830"/>
    <cellStyle name="Normal 186 6" xfId="34688"/>
    <cellStyle name="Normal 186 7" xfId="39419"/>
    <cellStyle name="Normal 187" xfId="8238"/>
    <cellStyle name="Normal 187 2" xfId="15318"/>
    <cellStyle name="Normal 187 3" xfId="20435"/>
    <cellStyle name="Normal 187 4" xfId="25478"/>
    <cellStyle name="Normal 187 5" xfId="30439"/>
    <cellStyle name="Normal 187 6" xfId="35297"/>
    <cellStyle name="Normal 187 7" xfId="40028"/>
    <cellStyle name="Normal 188" xfId="8341"/>
    <cellStyle name="Normal 188 2" xfId="15422"/>
    <cellStyle name="Normal 188 3" xfId="20539"/>
    <cellStyle name="Normal 188 4" xfId="25582"/>
    <cellStyle name="Normal 188 5" xfId="30543"/>
    <cellStyle name="Normal 188 6" xfId="35401"/>
    <cellStyle name="Normal 188 7" xfId="40132"/>
    <cellStyle name="Normal 189" xfId="8280"/>
    <cellStyle name="Normal 189 2" xfId="15361"/>
    <cellStyle name="Normal 189 3" xfId="20478"/>
    <cellStyle name="Normal 189 4" xfId="25521"/>
    <cellStyle name="Normal 189 5" xfId="30482"/>
    <cellStyle name="Normal 189 6" xfId="35340"/>
    <cellStyle name="Normal 189 7" xfId="40071"/>
    <cellStyle name="Normal 19" xfId="173"/>
    <cellStyle name="Normal 19 10" xfId="22904"/>
    <cellStyle name="Normal 19 11" xfId="27872"/>
    <cellStyle name="Normal 19 2" xfId="213"/>
    <cellStyle name="Normal 19 2 2" xfId="11413"/>
    <cellStyle name="Normal 19 2 3" xfId="13912"/>
    <cellStyle name="Normal 19 2 4" xfId="17645"/>
    <cellStyle name="Normal 19 2 5" xfId="22728"/>
    <cellStyle name="Normal 19 2 6" xfId="27736"/>
    <cellStyle name="Normal 19 2 7" xfId="32652"/>
    <cellStyle name="Normal 19 3" xfId="10422"/>
    <cellStyle name="Normal 19 4" xfId="10735"/>
    <cellStyle name="Normal 19 5" xfId="11019"/>
    <cellStyle name="Normal 19 6" xfId="11375"/>
    <cellStyle name="Normal 19 7" xfId="11846"/>
    <cellStyle name="Normal 19 8" xfId="14146"/>
    <cellStyle name="Normal 19 9" xfId="17851"/>
    <cellStyle name="Normal 190" xfId="8254"/>
    <cellStyle name="Normal 190 2" xfId="15335"/>
    <cellStyle name="Normal 190 3" xfId="20452"/>
    <cellStyle name="Normal 190 4" xfId="25495"/>
    <cellStyle name="Normal 190 5" xfId="30456"/>
    <cellStyle name="Normal 190 6" xfId="35314"/>
    <cellStyle name="Normal 190 7" xfId="40045"/>
    <cellStyle name="Normal 191" xfId="8713"/>
    <cellStyle name="Normal 191 2" xfId="15794"/>
    <cellStyle name="Normal 191 3" xfId="20911"/>
    <cellStyle name="Normal 191 4" xfId="25954"/>
    <cellStyle name="Normal 191 5" xfId="30915"/>
    <cellStyle name="Normal 191 6" xfId="35773"/>
    <cellStyle name="Normal 191 7" xfId="40504"/>
    <cellStyle name="Normal 192" xfId="8769"/>
    <cellStyle name="Normal 192 2" xfId="15850"/>
    <cellStyle name="Normal 192 3" xfId="20967"/>
    <cellStyle name="Normal 192 4" xfId="26010"/>
    <cellStyle name="Normal 192 5" xfId="30971"/>
    <cellStyle name="Normal 192 6" xfId="35829"/>
    <cellStyle name="Normal 192 7" xfId="40560"/>
    <cellStyle name="Normal 193" xfId="8443"/>
    <cellStyle name="Normal 193 2" xfId="15524"/>
    <cellStyle name="Normal 193 3" xfId="20641"/>
    <cellStyle name="Normal 193 4" xfId="25684"/>
    <cellStyle name="Normal 193 5" xfId="30645"/>
    <cellStyle name="Normal 193 6" xfId="35503"/>
    <cellStyle name="Normal 193 7" xfId="40234"/>
    <cellStyle name="Normal 194" xfId="9062"/>
    <cellStyle name="Normal 194 2" xfId="16143"/>
    <cellStyle name="Normal 194 3" xfId="21260"/>
    <cellStyle name="Normal 194 4" xfId="26303"/>
    <cellStyle name="Normal 194 5" xfId="31264"/>
    <cellStyle name="Normal 194 6" xfId="36122"/>
    <cellStyle name="Normal 194 7" xfId="40853"/>
    <cellStyle name="Normal 195" xfId="8459"/>
    <cellStyle name="Normal 195 2" xfId="15540"/>
    <cellStyle name="Normal 195 3" xfId="20657"/>
    <cellStyle name="Normal 195 4" xfId="25700"/>
    <cellStyle name="Normal 195 5" xfId="30661"/>
    <cellStyle name="Normal 195 6" xfId="35519"/>
    <cellStyle name="Normal 195 7" xfId="40250"/>
    <cellStyle name="Normal 196" xfId="8682"/>
    <cellStyle name="Normal 196 2" xfId="15763"/>
    <cellStyle name="Normal 196 3" xfId="20880"/>
    <cellStyle name="Normal 196 4" xfId="25923"/>
    <cellStyle name="Normal 196 5" xfId="30884"/>
    <cellStyle name="Normal 196 6" xfId="35742"/>
    <cellStyle name="Normal 196 7" xfId="40473"/>
    <cellStyle name="Normal 197" xfId="8352"/>
    <cellStyle name="Normal 197 2" xfId="15433"/>
    <cellStyle name="Normal 197 3" xfId="20550"/>
    <cellStyle name="Normal 197 4" xfId="25593"/>
    <cellStyle name="Normal 197 5" xfId="30554"/>
    <cellStyle name="Normal 197 6" xfId="35412"/>
    <cellStyle name="Normal 197 7" xfId="40143"/>
    <cellStyle name="Normal 198" xfId="9145"/>
    <cellStyle name="Normal 198 2" xfId="16226"/>
    <cellStyle name="Normal 198 3" xfId="21343"/>
    <cellStyle name="Normal 198 4" xfId="26386"/>
    <cellStyle name="Normal 198 5" xfId="31347"/>
    <cellStyle name="Normal 198 6" xfId="36205"/>
    <cellStyle name="Normal 198 7" xfId="40936"/>
    <cellStyle name="Normal 199" xfId="8899"/>
    <cellStyle name="Normal 199 2" xfId="15980"/>
    <cellStyle name="Normal 199 3" xfId="21097"/>
    <cellStyle name="Normal 199 4" xfId="26140"/>
    <cellStyle name="Normal 199 5" xfId="31101"/>
    <cellStyle name="Normal 199 6" xfId="35959"/>
    <cellStyle name="Normal 199 7" xfId="40690"/>
    <cellStyle name="Normal 2" xfId="4210"/>
    <cellStyle name="Normal 2 10" xfId="3489"/>
    <cellStyle name="Normal 2 10 2" xfId="13729"/>
    <cellStyle name="Normal 2 10 3" xfId="17478"/>
    <cellStyle name="Normal 2 10 4" xfId="22589"/>
    <cellStyle name="Normal 2 10 5" xfId="27627"/>
    <cellStyle name="Normal 2 10 6" xfId="32586"/>
    <cellStyle name="Normal 2 10 7" xfId="37444"/>
    <cellStyle name="Normal 2 11" xfId="3493"/>
    <cellStyle name="Normal 2 11 2" xfId="13733"/>
    <cellStyle name="Normal 2 11 3" xfId="17482"/>
    <cellStyle name="Normal 2 11 4" xfId="22593"/>
    <cellStyle name="Normal 2 11 5" xfId="27631"/>
    <cellStyle name="Normal 2 11 6" xfId="32590"/>
    <cellStyle name="Normal 2 11 7" xfId="37448"/>
    <cellStyle name="Normal 2 12" xfId="3492"/>
    <cellStyle name="Normal 2 12 2" xfId="13732"/>
    <cellStyle name="Normal 2 12 3" xfId="17481"/>
    <cellStyle name="Normal 2 12 4" xfId="22592"/>
    <cellStyle name="Normal 2 12 5" xfId="27630"/>
    <cellStyle name="Normal 2 12 6" xfId="32589"/>
    <cellStyle name="Normal 2 12 7" xfId="37447"/>
    <cellStyle name="Normal 2 13" xfId="4179"/>
    <cellStyle name="Normal 2 14" xfId="4208"/>
    <cellStyle name="Normal 2 15" xfId="4204"/>
    <cellStyle name="Normal 2 16" xfId="4184"/>
    <cellStyle name="Normal 2 17" xfId="4198"/>
    <cellStyle name="Normal 2 18" xfId="4202"/>
    <cellStyle name="Normal 2 19" xfId="4182"/>
    <cellStyle name="Normal 2 2" xfId="51"/>
    <cellStyle name="Normal 2 2 10" xfId="10991"/>
    <cellStyle name="Normal 2 2 11" xfId="11401"/>
    <cellStyle name="Normal 2 2 12" xfId="13258"/>
    <cellStyle name="Normal 2 2 13" xfId="13507"/>
    <cellStyle name="Normal 2 2 14" xfId="13999"/>
    <cellStyle name="Normal 2 2 15" xfId="17719"/>
    <cellStyle name="Normal 2 2 16" xfId="22792"/>
    <cellStyle name="Normal 2 2 2" xfId="1301"/>
    <cellStyle name="Normal 2 2 2 2" xfId="1307"/>
    <cellStyle name="Normal 2 2 2 2 2" xfId="2479"/>
    <cellStyle name="Normal 2 2 2 2 2 2" xfId="2485"/>
    <cellStyle name="Normal 2 2 2 2 2 2 2" xfId="13032"/>
    <cellStyle name="Normal 2 2 2 2 2 2 3" xfId="13756"/>
    <cellStyle name="Normal 2 2 2 2 2 2 4" xfId="17501"/>
    <cellStyle name="Normal 2 2 2 2 2 2 5" xfId="22608"/>
    <cellStyle name="Normal 2 2 2 2 2 2 6" xfId="27641"/>
    <cellStyle name="Normal 2 2 2 2 2 2 7" xfId="32597"/>
    <cellStyle name="Normal 2 2 2 2 3" xfId="2513"/>
    <cellStyle name="Normal 2 2 2 2 3 2" xfId="13059"/>
    <cellStyle name="Normal 2 2 2 2 3 3" xfId="11857"/>
    <cellStyle name="Normal 2 2 2 2 3 4" xfId="12947"/>
    <cellStyle name="Normal 2 2 2 2 3 5" xfId="13509"/>
    <cellStyle name="Normal 2 2 2 2 3 6" xfId="13087"/>
    <cellStyle name="Normal 2 2 2 2 3 7" xfId="12953"/>
    <cellStyle name="Normal 2 2 2 2 4" xfId="12232"/>
    <cellStyle name="Normal 2 2 2 2 5" xfId="11700"/>
    <cellStyle name="Normal 2 2 2 2 6" xfId="11761"/>
    <cellStyle name="Normal 2 2 2 2 7" xfId="10689"/>
    <cellStyle name="Normal 2 2 2 2 8" xfId="13378"/>
    <cellStyle name="Normal 2 2 2 2 9" xfId="14168"/>
    <cellStyle name="Normal 2 2 2 3" xfId="1696"/>
    <cellStyle name="Normal 2 2 2 3 2" xfId="2507"/>
    <cellStyle name="Normal 2 2 2 3 3" xfId="12503"/>
    <cellStyle name="Normal 2 2 2 3 4" xfId="13838"/>
    <cellStyle name="Normal 2 2 2 3 5" xfId="17578"/>
    <cellStyle name="Normal 2 2 2 3 6" xfId="22673"/>
    <cellStyle name="Normal 2 2 2 3 7" xfId="27693"/>
    <cellStyle name="Normal 2 2 2 3 8" xfId="32628"/>
    <cellStyle name="Normal 2 2 3" xfId="1312"/>
    <cellStyle name="Normal 2 2 3 2" xfId="12237"/>
    <cellStyle name="Normal 2 2 3 3" xfId="11741"/>
    <cellStyle name="Normal 2 2 3 4" xfId="12788"/>
    <cellStyle name="Normal 2 2 3 5" xfId="13107"/>
    <cellStyle name="Normal 2 2 3 6" xfId="12691"/>
    <cellStyle name="Normal 2 2 3 7" xfId="12994"/>
    <cellStyle name="Normal 2 2 4" xfId="1342"/>
    <cellStyle name="Normal 2 2 4 2" xfId="12263"/>
    <cellStyle name="Normal 2 2 4 3" xfId="12400"/>
    <cellStyle name="Normal 2 2 4 4" xfId="13397"/>
    <cellStyle name="Normal 2 2 4 5" xfId="13949"/>
    <cellStyle name="Normal 2 2 4 6" xfId="17677"/>
    <cellStyle name="Normal 2 2 4 7" xfId="22756"/>
    <cellStyle name="Normal 2 2 5" xfId="1581"/>
    <cellStyle name="Normal 2 2 5 2" xfId="12432"/>
    <cellStyle name="Normal 2 2 5 3" xfId="13547"/>
    <cellStyle name="Normal 2 2 5 4" xfId="11377"/>
    <cellStyle name="Normal 2 2 5 5" xfId="11788"/>
    <cellStyle name="Normal 2 2 5 6" xfId="13241"/>
    <cellStyle name="Normal 2 2 5 7" xfId="12023"/>
    <cellStyle name="Normal 2 2 6" xfId="1694"/>
    <cellStyle name="Normal 2 2 6 2" xfId="2471"/>
    <cellStyle name="Normal 2 2 6 2 2" xfId="13018"/>
    <cellStyle name="Normal 2 2 6 2 3" xfId="13863"/>
    <cellStyle name="Normal 2 2 6 2 4" xfId="17599"/>
    <cellStyle name="Normal 2 2 6 2 5" xfId="22692"/>
    <cellStyle name="Normal 2 2 6 2 6" xfId="27709"/>
    <cellStyle name="Normal 2 2 6 2 7" xfId="32636"/>
    <cellStyle name="Normal 2 2 7" xfId="2462"/>
    <cellStyle name="Normal 2 2 7 2" xfId="13009"/>
    <cellStyle name="Normal 2 2 7 3" xfId="14049"/>
    <cellStyle name="Normal 2 2 7 4" xfId="17766"/>
    <cellStyle name="Normal 2 2 7 5" xfId="22833"/>
    <cellStyle name="Normal 2 2 7 6" xfId="27817"/>
    <cellStyle name="Normal 2 2 7 7" xfId="32702"/>
    <cellStyle name="Normal 2 2 8" xfId="10394"/>
    <cellStyle name="Normal 2 2 9" xfId="10707"/>
    <cellStyle name="Normal 2 20" xfId="4199"/>
    <cellStyle name="Normal 2 21" xfId="1308"/>
    <cellStyle name="Normal 2 21 2" xfId="12233"/>
    <cellStyle name="Normal 2 21 3" xfId="11750"/>
    <cellStyle name="Normal 2 21 4" xfId="12069"/>
    <cellStyle name="Normal 2 21 5" xfId="13539"/>
    <cellStyle name="Normal 2 21 6" xfId="11708"/>
    <cellStyle name="Normal 2 21 7" xfId="14038"/>
    <cellStyle name="Normal 2 22" xfId="4192"/>
    <cellStyle name="Normal 2 23" xfId="4207"/>
    <cellStyle name="Normal 2 24" xfId="4196"/>
    <cellStyle name="Normal 2 25" xfId="4212"/>
    <cellStyle name="Normal 2 26" xfId="4332"/>
    <cellStyle name="Normal 2 27" xfId="4349"/>
    <cellStyle name="Normal 2 3" xfId="378"/>
    <cellStyle name="Normal 2 3 10" xfId="14077"/>
    <cellStyle name="Normal 2 3 11" xfId="17791"/>
    <cellStyle name="Normal 2 3 12" xfId="22856"/>
    <cellStyle name="Normal 2 3 13" xfId="27834"/>
    <cellStyle name="Normal 2 3 14" xfId="32714"/>
    <cellStyle name="Normal 2 3 2" xfId="1304"/>
    <cellStyle name="Normal 2 3 2 2" xfId="1417"/>
    <cellStyle name="Normal 2 3 2 2 2" xfId="2482"/>
    <cellStyle name="Normal 2 3 2 2 2 2" xfId="2497"/>
    <cellStyle name="Normal 2 3 2 2 2 2 2" xfId="13044"/>
    <cellStyle name="Normal 2 3 2 2 2 2 3" xfId="12763"/>
    <cellStyle name="Normal 2 3 2 2 2 2 4" xfId="12028"/>
    <cellStyle name="Normal 2 3 2 2 2 2 5" xfId="13747"/>
    <cellStyle name="Normal 2 3 2 2 2 2 6" xfId="17494"/>
    <cellStyle name="Normal 2 3 2 2 2 2 7" xfId="22604"/>
    <cellStyle name="Normal 2 3 2 2 3" xfId="2612"/>
    <cellStyle name="Normal 2 3 2 2 3 2" xfId="13132"/>
    <cellStyle name="Normal 2 3 2 2 3 3" xfId="12562"/>
    <cellStyle name="Normal 2 3 2 2 3 4" xfId="14165"/>
    <cellStyle name="Normal 2 3 2 2 3 5" xfId="17869"/>
    <cellStyle name="Normal 2 3 2 2 3 6" xfId="22917"/>
    <cellStyle name="Normal 2 3 2 2 3 7" xfId="27883"/>
    <cellStyle name="Normal 2 3 2 2 4" xfId="12315"/>
    <cellStyle name="Normal 2 3 2 2 5" xfId="13690"/>
    <cellStyle name="Normal 2 3 2 2 6" xfId="12805"/>
    <cellStyle name="Normal 2 3 2 2 7" xfId="13711"/>
    <cellStyle name="Normal 2 3 2 2 8" xfId="10979"/>
    <cellStyle name="Normal 2 3 2 2 9" xfId="11804"/>
    <cellStyle name="Normal 2 3 2 3" xfId="1888"/>
    <cellStyle name="Normal 2 3 2 3 2" xfId="2510"/>
    <cellStyle name="Normal 2 3 2 3 3" xfId="12634"/>
    <cellStyle name="Normal 2 3 2 3 4" xfId="13379"/>
    <cellStyle name="Normal 2 3 2 3 5" xfId="13981"/>
    <cellStyle name="Normal 2 3 2 3 6" xfId="17704"/>
    <cellStyle name="Normal 2 3 2 3 7" xfId="22780"/>
    <cellStyle name="Normal 2 3 2 3 8" xfId="27780"/>
    <cellStyle name="Normal 2 3 3" xfId="1582"/>
    <cellStyle name="Normal 2 3 3 2" xfId="12433"/>
    <cellStyle name="Normal 2 3 3 3" xfId="13304"/>
    <cellStyle name="Normal 2 3 3 4" xfId="11684"/>
    <cellStyle name="Normal 2 3 3 5" xfId="14011"/>
    <cellStyle name="Normal 2 3 3 6" xfId="17730"/>
    <cellStyle name="Normal 2 3 3 7" xfId="22802"/>
    <cellStyle name="Normal 2 3 4" xfId="1711"/>
    <cellStyle name="Normal 2 3 4 2" xfId="2449"/>
    <cellStyle name="Normal 2 3 4 2 2" xfId="12997"/>
    <cellStyle name="Normal 2 3 4 2 3" xfId="13641"/>
    <cellStyle name="Normal 2 3 4 2 4" xfId="12188"/>
    <cellStyle name="Normal 2 3 4 2 5" xfId="12739"/>
    <cellStyle name="Normal 2 3 4 2 6" xfId="12302"/>
    <cellStyle name="Normal 2 3 4 2 7" xfId="11799"/>
    <cellStyle name="Normal 2 3 5" xfId="2459"/>
    <cellStyle name="Normal 2 3 5 2" xfId="13006"/>
    <cellStyle name="Normal 2 3 5 3" xfId="13149"/>
    <cellStyle name="Normal 2 3 5 4" xfId="13802"/>
    <cellStyle name="Normal 2 3 5 5" xfId="17543"/>
    <cellStyle name="Normal 2 3 5 6" xfId="22641"/>
    <cellStyle name="Normal 2 3 5 7" xfId="27667"/>
    <cellStyle name="Normal 2 3 6" xfId="10589"/>
    <cellStyle name="Normal 2 3 7" xfId="10903"/>
    <cellStyle name="Normal 2 3 8" xfId="11187"/>
    <cellStyle name="Normal 2 3 9" xfId="11578"/>
    <cellStyle name="Normal 2 4" xfId="394"/>
    <cellStyle name="Normal 2 4 10" xfId="13581"/>
    <cellStyle name="Normal 2 4 11" xfId="13400"/>
    <cellStyle name="Normal 2 4 12" xfId="13899"/>
    <cellStyle name="Normal 2 4 13" xfId="17632"/>
    <cellStyle name="Normal 2 4 14" xfId="22718"/>
    <cellStyle name="Normal 2 4 2" xfId="1306"/>
    <cellStyle name="Normal 2 4 2 2" xfId="1427"/>
    <cellStyle name="Normal 2 4 2 2 2" xfId="2484"/>
    <cellStyle name="Normal 2 4 2 2 2 2" xfId="2498"/>
    <cellStyle name="Normal 2 4 2 2 2 2 2" xfId="13045"/>
    <cellStyle name="Normal 2 4 2 2 2 2 3" xfId="13469"/>
    <cellStyle name="Normal 2 4 2 2 2 2 4" xfId="13723"/>
    <cellStyle name="Normal 2 4 2 2 2 2 5" xfId="17473"/>
    <cellStyle name="Normal 2 4 2 2 2 2 6" xfId="22585"/>
    <cellStyle name="Normal 2 4 2 2 2 2 7" xfId="27624"/>
    <cellStyle name="Normal 2 4 2 2 3" xfId="2622"/>
    <cellStyle name="Normal 2 4 2 2 3 2" xfId="13139"/>
    <cellStyle name="Normal 2 4 2 2 3 3" xfId="13515"/>
    <cellStyle name="Normal 2 4 2 2 3 4" xfId="14107"/>
    <cellStyle name="Normal 2 4 2 2 3 5" xfId="17817"/>
    <cellStyle name="Normal 2 4 2 2 3 6" xfId="22877"/>
    <cellStyle name="Normal 2 4 2 2 3 7" xfId="27849"/>
    <cellStyle name="Normal 2 4 2 2 4" xfId="12323"/>
    <cellStyle name="Normal 2 4 2 2 5" xfId="13265"/>
    <cellStyle name="Normal 2 4 2 2 6" xfId="13242"/>
    <cellStyle name="Normal 2 4 2 2 7" xfId="11849"/>
    <cellStyle name="Normal 2 4 2 2 8" xfId="13504"/>
    <cellStyle name="Normal 2 4 2 2 9" xfId="13131"/>
    <cellStyle name="Normal 2 4 2 3" xfId="1896"/>
    <cellStyle name="Normal 2 4 2 3 2" xfId="2512"/>
    <cellStyle name="Normal 2 4 2 3 3" xfId="12638"/>
    <cellStyle name="Normal 2 4 2 3 4" xfId="13439"/>
    <cellStyle name="Normal 2 4 2 3 5" xfId="13788"/>
    <cellStyle name="Normal 2 4 2 3 6" xfId="17529"/>
    <cellStyle name="Normal 2 4 2 3 7" xfId="22631"/>
    <cellStyle name="Normal 2 4 2 3 8" xfId="27658"/>
    <cellStyle name="Normal 2 4 3" xfId="1583"/>
    <cellStyle name="Normal 2 4 3 2" xfId="12434"/>
    <cellStyle name="Normal 2 4 3 3" xfId="12504"/>
    <cellStyle name="Normal 2 4 3 4" xfId="12574"/>
    <cellStyle name="Normal 2 4 3 5" xfId="13883"/>
    <cellStyle name="Normal 2 4 3 6" xfId="17617"/>
    <cellStyle name="Normal 2 4 3 7" xfId="22706"/>
    <cellStyle name="Normal 2 4 4" xfId="1716"/>
    <cellStyle name="Normal 2 4 4 2" xfId="2448"/>
    <cellStyle name="Normal 2 4 4 2 2" xfId="12996"/>
    <cellStyle name="Normal 2 4 4 2 3" xfId="12756"/>
    <cellStyle name="Normal 2 4 4 2 4" xfId="13445"/>
    <cellStyle name="Normal 2 4 4 2 5" xfId="12607"/>
    <cellStyle name="Normal 2 4 4 2 6" xfId="14118"/>
    <cellStyle name="Normal 2 4 4 2 7" xfId="17826"/>
    <cellStyle name="Normal 2 4 5" xfId="2453"/>
    <cellStyle name="Normal 2 4 5 2" xfId="13000"/>
    <cellStyle name="Normal 2 4 5 3" xfId="14173"/>
    <cellStyle name="Normal 2 4 5 4" xfId="17875"/>
    <cellStyle name="Normal 2 4 5 5" xfId="22922"/>
    <cellStyle name="Normal 2 4 5 6" xfId="27888"/>
    <cellStyle name="Normal 2 4 5 7" xfId="32749"/>
    <cellStyle name="Normal 2 4 6" xfId="10605"/>
    <cellStyle name="Normal 2 4 7" xfId="10919"/>
    <cellStyle name="Normal 2 4 8" xfId="11203"/>
    <cellStyle name="Normal 2 4 9" xfId="11594"/>
    <cellStyle name="Normal 2 5" xfId="399"/>
    <cellStyle name="Normal 2 5 10" xfId="13123"/>
    <cellStyle name="Normal 2 5 11" xfId="11808"/>
    <cellStyle name="Normal 2 5 12" xfId="12378"/>
    <cellStyle name="Normal 2 5 13" xfId="12913"/>
    <cellStyle name="Normal 2 5 14" xfId="13182"/>
    <cellStyle name="Normal 2 5 2" xfId="1311"/>
    <cellStyle name="Normal 2 5 2 2" xfId="1431"/>
    <cellStyle name="Normal 2 5 2 2 2" xfId="2488"/>
    <cellStyle name="Normal 2 5 2 2 2 2" xfId="2499"/>
    <cellStyle name="Normal 2 5 2 2 2 2 2" xfId="13046"/>
    <cellStyle name="Normal 2 5 2 2 2 2 3" xfId="13228"/>
    <cellStyle name="Normal 2 5 2 2 2 2 4" xfId="12767"/>
    <cellStyle name="Normal 2 5 2 2 2 2 5" xfId="11815"/>
    <cellStyle name="Normal 2 5 2 2 2 2 6" xfId="12165"/>
    <cellStyle name="Normal 2 5 2 2 2 2 7" xfId="11304"/>
    <cellStyle name="Normal 2 5 2 2 3" xfId="2626"/>
    <cellStyle name="Normal 2 5 2 2 3 2" xfId="13142"/>
    <cellStyle name="Normal 2 5 2 2 3 3" xfId="13767"/>
    <cellStyle name="Normal 2 5 2 2 3 4" xfId="17511"/>
    <cellStyle name="Normal 2 5 2 2 3 5" xfId="22616"/>
    <cellStyle name="Normal 2 5 2 2 3 6" xfId="27646"/>
    <cellStyle name="Normal 2 5 2 2 3 7" xfId="32601"/>
    <cellStyle name="Normal 2 5 2 2 4" xfId="12326"/>
    <cellStyle name="Normal 2 5 2 2 5" xfId="12855"/>
    <cellStyle name="Normal 2 5 2 2 6" xfId="13422"/>
    <cellStyle name="Normal 2 5 2 2 7" xfId="11823"/>
    <cellStyle name="Normal 2 5 2 2 8" xfId="11715"/>
    <cellStyle name="Normal 2 5 2 2 9" xfId="13935"/>
    <cellStyle name="Normal 2 5 2 3" xfId="1898"/>
    <cellStyle name="Normal 2 5 2 3 2" xfId="2516"/>
    <cellStyle name="Normal 2 5 2 3 3" xfId="12640"/>
    <cellStyle name="Normal 2 5 2 3 4" xfId="12377"/>
    <cellStyle name="Normal 2 5 2 3 5" xfId="13226"/>
    <cellStyle name="Normal 2 5 2 3 6" xfId="12301"/>
    <cellStyle name="Normal 2 5 2 3 7" xfId="11824"/>
    <cellStyle name="Normal 2 5 2 3 8" xfId="11744"/>
    <cellStyle name="Normal 2 5 3" xfId="1584"/>
    <cellStyle name="Normal 2 5 3 2" xfId="12435"/>
    <cellStyle name="Normal 2 5 3 3" xfId="11367"/>
    <cellStyle name="Normal 2 5 3 4" xfId="12046"/>
    <cellStyle name="Normal 2 5 3 5" xfId="12856"/>
    <cellStyle name="Normal 2 5 3 6" xfId="13181"/>
    <cellStyle name="Normal 2 5 3 7" xfId="12070"/>
    <cellStyle name="Normal 2 5 4" xfId="1717"/>
    <cellStyle name="Normal 2 5 4 2" xfId="2446"/>
    <cellStyle name="Normal 2 5 4 2 2" xfId="12995"/>
    <cellStyle name="Normal 2 5 4 2 3" xfId="13812"/>
    <cellStyle name="Normal 2 5 4 2 4" xfId="17553"/>
    <cellStyle name="Normal 2 5 4 2 5" xfId="22650"/>
    <cellStyle name="Normal 2 5 4 2 6" xfId="27674"/>
    <cellStyle name="Normal 2 5 4 2 7" xfId="32619"/>
    <cellStyle name="Normal 2 5 5" xfId="2450"/>
    <cellStyle name="Normal 2 5 5 2" xfId="12998"/>
    <cellStyle name="Normal 2 5 5 3" xfId="13495"/>
    <cellStyle name="Normal 2 5 5 4" xfId="13928"/>
    <cellStyle name="Normal 2 5 5 5" xfId="17659"/>
    <cellStyle name="Normal 2 5 5 6" xfId="22741"/>
    <cellStyle name="Normal 2 5 5 7" xfId="27746"/>
    <cellStyle name="Normal 2 5 6" xfId="10610"/>
    <cellStyle name="Normal 2 5 7" xfId="10924"/>
    <cellStyle name="Normal 2 5 8" xfId="11208"/>
    <cellStyle name="Normal 2 5 9" xfId="11599"/>
    <cellStyle name="Normal 2 6" xfId="400"/>
    <cellStyle name="Normal 2 6 10" xfId="22861"/>
    <cellStyle name="Normal 2 6 2" xfId="10611"/>
    <cellStyle name="Normal 2 6 3" xfId="10925"/>
    <cellStyle name="Normal 2 6 4" xfId="11209"/>
    <cellStyle name="Normal 2 6 5" xfId="11600"/>
    <cellStyle name="Normal 2 6 6" xfId="12309"/>
    <cellStyle name="Normal 2 6 7" xfId="12581"/>
    <cellStyle name="Normal 2 6 8" xfId="14084"/>
    <cellStyle name="Normal 2 6 9" xfId="17798"/>
    <cellStyle name="Normal 2 7" xfId="401"/>
    <cellStyle name="Normal 2 7 10" xfId="12707"/>
    <cellStyle name="Normal 2 7 2" xfId="10612"/>
    <cellStyle name="Normal 2 7 3" xfId="10926"/>
    <cellStyle name="Normal 2 7 4" xfId="11210"/>
    <cellStyle name="Normal 2 7 5" xfId="11601"/>
    <cellStyle name="Normal 2 7 6" xfId="12630"/>
    <cellStyle name="Normal 2 7 7" xfId="13108"/>
    <cellStyle name="Normal 2 7 8" xfId="13126"/>
    <cellStyle name="Normal 2 7 9" xfId="11771"/>
    <cellStyle name="Normal 2 8" xfId="387"/>
    <cellStyle name="Normal 2 8 10" xfId="12951"/>
    <cellStyle name="Normal 2 8 2" xfId="10598"/>
    <cellStyle name="Normal 2 8 3" xfId="10912"/>
    <cellStyle name="Normal 2 8 4" xfId="11196"/>
    <cellStyle name="Normal 2 8 5" xfId="11587"/>
    <cellStyle name="Normal 2 8 6" xfId="12937"/>
    <cellStyle name="Normal 2 8 7" xfId="13538"/>
    <cellStyle name="Normal 2 8 8" xfId="11812"/>
    <cellStyle name="Normal 2 8 9" xfId="13457"/>
    <cellStyle name="Normal 2 9" xfId="402"/>
    <cellStyle name="Normal 2 9 10" xfId="27687"/>
    <cellStyle name="Normal 2 9 2" xfId="10613"/>
    <cellStyle name="Normal 2 9 3" xfId="10927"/>
    <cellStyle name="Normal 2 9 4" xfId="11211"/>
    <cellStyle name="Normal 2 9 5" xfId="11602"/>
    <cellStyle name="Normal 2 9 6" xfId="12952"/>
    <cellStyle name="Normal 2 9 7" xfId="13828"/>
    <cellStyle name="Normal 2 9 8" xfId="17568"/>
    <cellStyle name="Normal 2 9 9" xfId="22664"/>
    <cellStyle name="Normal 20" xfId="176"/>
    <cellStyle name="Normal 20 10" xfId="22626"/>
    <cellStyle name="Normal 20 11" xfId="27655"/>
    <cellStyle name="Normal 20 2" xfId="219"/>
    <cellStyle name="Normal 20 2 2" xfId="11419"/>
    <cellStyle name="Normal 20 2 3" xfId="14153"/>
    <cellStyle name="Normal 20 2 4" xfId="17857"/>
    <cellStyle name="Normal 20 2 5" xfId="22907"/>
    <cellStyle name="Normal 20 2 6" xfId="27875"/>
    <cellStyle name="Normal 20 2 7" xfId="32742"/>
    <cellStyle name="Normal 20 3" xfId="10430"/>
    <cellStyle name="Normal 20 4" xfId="10743"/>
    <cellStyle name="Normal 20 5" xfId="11027"/>
    <cellStyle name="Normal 20 6" xfId="11378"/>
    <cellStyle name="Normal 20 7" xfId="11710"/>
    <cellStyle name="Normal 20 8" xfId="13779"/>
    <cellStyle name="Normal 20 9" xfId="17522"/>
    <cellStyle name="Normal 200" xfId="8347"/>
    <cellStyle name="Normal 200 2" xfId="15428"/>
    <cellStyle name="Normal 200 3" xfId="20545"/>
    <cellStyle name="Normal 200 4" xfId="25588"/>
    <cellStyle name="Normal 200 5" xfId="30549"/>
    <cellStyle name="Normal 200 6" xfId="35407"/>
    <cellStyle name="Normal 200 7" xfId="40138"/>
    <cellStyle name="Normal 201" xfId="8247"/>
    <cellStyle name="Normal 201 2" xfId="15328"/>
    <cellStyle name="Normal 201 3" xfId="20445"/>
    <cellStyle name="Normal 201 4" xfId="25488"/>
    <cellStyle name="Normal 201 5" xfId="30449"/>
    <cellStyle name="Normal 201 6" xfId="35307"/>
    <cellStyle name="Normal 201 7" xfId="40038"/>
    <cellStyle name="Normal 202" xfId="8792"/>
    <cellStyle name="Normal 202 2" xfId="15873"/>
    <cellStyle name="Normal 202 3" xfId="20990"/>
    <cellStyle name="Normal 202 4" xfId="26033"/>
    <cellStyle name="Normal 202 5" xfId="30994"/>
    <cellStyle name="Normal 202 6" xfId="35852"/>
    <cellStyle name="Normal 202 7" xfId="40583"/>
    <cellStyle name="Normal 203" xfId="9094"/>
    <cellStyle name="Normal 203 2" xfId="16175"/>
    <cellStyle name="Normal 203 3" xfId="21292"/>
    <cellStyle name="Normal 203 4" xfId="26335"/>
    <cellStyle name="Normal 203 5" xfId="31296"/>
    <cellStyle name="Normal 203 6" xfId="36154"/>
    <cellStyle name="Normal 203 7" xfId="40885"/>
    <cellStyle name="Normal 204" xfId="9077"/>
    <cellStyle name="Normal 204 2" xfId="16158"/>
    <cellStyle name="Normal 204 3" xfId="21275"/>
    <cellStyle name="Normal 204 4" xfId="26318"/>
    <cellStyle name="Normal 204 5" xfId="31279"/>
    <cellStyle name="Normal 204 6" xfId="36137"/>
    <cellStyle name="Normal 204 7" xfId="40868"/>
    <cellStyle name="Normal 205" xfId="9457"/>
    <cellStyle name="Normal 205 2" xfId="16538"/>
    <cellStyle name="Normal 205 3" xfId="21655"/>
    <cellStyle name="Normal 205 4" xfId="26698"/>
    <cellStyle name="Normal 205 5" xfId="31659"/>
    <cellStyle name="Normal 205 6" xfId="36517"/>
    <cellStyle name="Normal 205 7" xfId="41248"/>
    <cellStyle name="Normal 206" xfId="9502"/>
    <cellStyle name="Normal 206 2" xfId="16583"/>
    <cellStyle name="Normal 206 3" xfId="21700"/>
    <cellStyle name="Normal 206 4" xfId="26743"/>
    <cellStyle name="Normal 206 5" xfId="31704"/>
    <cellStyle name="Normal 206 6" xfId="36562"/>
    <cellStyle name="Normal 206 7" xfId="41293"/>
    <cellStyle name="Normal 207" xfId="9236"/>
    <cellStyle name="Normal 207 2" xfId="16317"/>
    <cellStyle name="Normal 207 3" xfId="21434"/>
    <cellStyle name="Normal 207 4" xfId="26477"/>
    <cellStyle name="Normal 207 5" xfId="31438"/>
    <cellStyle name="Normal 207 6" xfId="36296"/>
    <cellStyle name="Normal 207 7" xfId="41027"/>
    <cellStyle name="Normal 208" xfId="9445"/>
    <cellStyle name="Normal 208 2" xfId="16526"/>
    <cellStyle name="Normal 208 3" xfId="21643"/>
    <cellStyle name="Normal 208 4" xfId="26686"/>
    <cellStyle name="Normal 208 5" xfId="31647"/>
    <cellStyle name="Normal 208 6" xfId="36505"/>
    <cellStyle name="Normal 208 7" xfId="41236"/>
    <cellStyle name="Normal 209" xfId="9515"/>
    <cellStyle name="Normal 209 2" xfId="16596"/>
    <cellStyle name="Normal 209 3" xfId="21713"/>
    <cellStyle name="Normal 209 4" xfId="26756"/>
    <cellStyle name="Normal 209 5" xfId="31717"/>
    <cellStyle name="Normal 209 6" xfId="36575"/>
    <cellStyle name="Normal 209 7" xfId="41306"/>
    <cellStyle name="Normal 21" xfId="180"/>
    <cellStyle name="Normal 21 10" xfId="27851"/>
    <cellStyle name="Normal 21 11" xfId="32724"/>
    <cellStyle name="Normal 21 2" xfId="221"/>
    <cellStyle name="Normal 21 2 2" xfId="11421"/>
    <cellStyle name="Normal 21 2 3" xfId="13955"/>
    <cellStyle name="Normal 21 2 4" xfId="17682"/>
    <cellStyle name="Normal 21 2 5" xfId="22761"/>
    <cellStyle name="Normal 21 2 6" xfId="27764"/>
    <cellStyle name="Normal 21 2 7" xfId="32667"/>
    <cellStyle name="Normal 21 3" xfId="10432"/>
    <cellStyle name="Normal 21 4" xfId="10745"/>
    <cellStyle name="Normal 21 5" xfId="11029"/>
    <cellStyle name="Normal 21 6" xfId="11382"/>
    <cellStyle name="Normal 21 7" xfId="14111"/>
    <cellStyle name="Normal 21 8" xfId="17821"/>
    <cellStyle name="Normal 21 9" xfId="22880"/>
    <cellStyle name="Normal 210" xfId="9450"/>
    <cellStyle name="Normal 210 2" xfId="16531"/>
    <cellStyle name="Normal 210 3" xfId="21648"/>
    <cellStyle name="Normal 210 4" xfId="26691"/>
    <cellStyle name="Normal 210 5" xfId="31652"/>
    <cellStyle name="Normal 210 6" xfId="36510"/>
    <cellStyle name="Normal 210 7" xfId="41241"/>
    <cellStyle name="Normal 211" xfId="9140"/>
    <cellStyle name="Normal 211 2" xfId="16221"/>
    <cellStyle name="Normal 211 3" xfId="21338"/>
    <cellStyle name="Normal 211 4" xfId="26381"/>
    <cellStyle name="Normal 211 5" xfId="31342"/>
    <cellStyle name="Normal 211 6" xfId="36200"/>
    <cellStyle name="Normal 211 7" xfId="40931"/>
    <cellStyle name="Normal 212" xfId="9072"/>
    <cellStyle name="Normal 212 2" xfId="16153"/>
    <cellStyle name="Normal 212 3" xfId="21270"/>
    <cellStyle name="Normal 212 4" xfId="26313"/>
    <cellStyle name="Normal 212 5" xfId="31274"/>
    <cellStyle name="Normal 212 6" xfId="36132"/>
    <cellStyle name="Normal 212 7" xfId="40863"/>
    <cellStyle name="Normal 213" xfId="9722"/>
    <cellStyle name="Normal 213 2" xfId="16803"/>
    <cellStyle name="Normal 213 3" xfId="21920"/>
    <cellStyle name="Normal 213 4" xfId="26963"/>
    <cellStyle name="Normal 213 5" xfId="31924"/>
    <cellStyle name="Normal 213 6" xfId="36782"/>
    <cellStyle name="Normal 213 7" xfId="41513"/>
    <cellStyle name="Normal 214" xfId="9762"/>
    <cellStyle name="Normal 214 2" xfId="16843"/>
    <cellStyle name="Normal 214 3" xfId="21960"/>
    <cellStyle name="Normal 214 4" xfId="27003"/>
    <cellStyle name="Normal 214 5" xfId="31964"/>
    <cellStyle name="Normal 214 6" xfId="36822"/>
    <cellStyle name="Normal 214 7" xfId="41553"/>
    <cellStyle name="Normal 215" xfId="9736"/>
    <cellStyle name="Normal 215 2" xfId="16817"/>
    <cellStyle name="Normal 215 3" xfId="21934"/>
    <cellStyle name="Normal 215 4" xfId="26977"/>
    <cellStyle name="Normal 215 5" xfId="31938"/>
    <cellStyle name="Normal 215 6" xfId="36796"/>
    <cellStyle name="Normal 215 7" xfId="41527"/>
    <cellStyle name="Normal 216" xfId="9727"/>
    <cellStyle name="Normal 216 2" xfId="16808"/>
    <cellStyle name="Normal 216 3" xfId="21925"/>
    <cellStyle name="Normal 216 4" xfId="26968"/>
    <cellStyle name="Normal 216 5" xfId="31929"/>
    <cellStyle name="Normal 216 6" xfId="36787"/>
    <cellStyle name="Normal 216 7" xfId="41518"/>
    <cellStyle name="Normal 217" xfId="9928"/>
    <cellStyle name="Normal 217 2" xfId="17009"/>
    <cellStyle name="Normal 217 3" xfId="22126"/>
    <cellStyle name="Normal 217 4" xfId="27169"/>
    <cellStyle name="Normal 217 5" xfId="32130"/>
    <cellStyle name="Normal 217 6" xfId="36988"/>
    <cellStyle name="Normal 217 7" xfId="41719"/>
    <cellStyle name="Normal 218" xfId="9952"/>
    <cellStyle name="Normal 218 2" xfId="17033"/>
    <cellStyle name="Normal 218 3" xfId="22150"/>
    <cellStyle name="Normal 218 4" xfId="27193"/>
    <cellStyle name="Normal 218 5" xfId="32154"/>
    <cellStyle name="Normal 218 6" xfId="37012"/>
    <cellStyle name="Normal 218 7" xfId="41743"/>
    <cellStyle name="Normal 219" xfId="10052"/>
    <cellStyle name="Normal 219 2" xfId="17133"/>
    <cellStyle name="Normal 219 3" xfId="22250"/>
    <cellStyle name="Normal 219 4" xfId="27293"/>
    <cellStyle name="Normal 219 5" xfId="32254"/>
    <cellStyle name="Normal 219 6" xfId="37112"/>
    <cellStyle name="Normal 219 7" xfId="41843"/>
    <cellStyle name="Normal 22" xfId="184"/>
    <cellStyle name="Normal 22 10" xfId="17725"/>
    <cellStyle name="Normal 22 11" xfId="22797"/>
    <cellStyle name="Normal 22 2" xfId="223"/>
    <cellStyle name="Normal 22 2 2" xfId="11423"/>
    <cellStyle name="Normal 22 2 3" xfId="12551"/>
    <cellStyle name="Normal 22 2 4" xfId="11354"/>
    <cellStyle name="Normal 22 2 5" xfId="12955"/>
    <cellStyle name="Normal 22 2 6" xfId="12440"/>
    <cellStyle name="Normal 22 2 7" xfId="13741"/>
    <cellStyle name="Normal 22 3" xfId="10434"/>
    <cellStyle name="Normal 22 4" xfId="10747"/>
    <cellStyle name="Normal 22 5" xfId="11031"/>
    <cellStyle name="Normal 22 6" xfId="11385"/>
    <cellStyle name="Normal 22 7" xfId="13533"/>
    <cellStyle name="Normal 22 8" xfId="11905"/>
    <cellStyle name="Normal 22 9" xfId="14005"/>
    <cellStyle name="Normal 220" xfId="10092"/>
    <cellStyle name="Normal 220 2" xfId="17173"/>
    <cellStyle name="Normal 220 3" xfId="22290"/>
    <cellStyle name="Normal 220 4" xfId="27333"/>
    <cellStyle name="Normal 220 5" xfId="32294"/>
    <cellStyle name="Normal 220 6" xfId="37152"/>
    <cellStyle name="Normal 220 7" xfId="41883"/>
    <cellStyle name="Normal 221" xfId="10066"/>
    <cellStyle name="Normal 221 2" xfId="17147"/>
    <cellStyle name="Normal 221 3" xfId="22264"/>
    <cellStyle name="Normal 221 4" xfId="27307"/>
    <cellStyle name="Normal 221 5" xfId="32268"/>
    <cellStyle name="Normal 221 6" xfId="37126"/>
    <cellStyle name="Normal 221 7" xfId="41857"/>
    <cellStyle name="Normal 222" xfId="10057"/>
    <cellStyle name="Normal 222 2" xfId="17138"/>
    <cellStyle name="Normal 222 3" xfId="22255"/>
    <cellStyle name="Normal 222 4" xfId="27298"/>
    <cellStyle name="Normal 222 5" xfId="32259"/>
    <cellStyle name="Normal 222 6" xfId="37117"/>
    <cellStyle name="Normal 222 7" xfId="41848"/>
    <cellStyle name="Normal 223" xfId="10258"/>
    <cellStyle name="Normal 223 2" xfId="17339"/>
    <cellStyle name="Normal 223 3" xfId="22456"/>
    <cellStyle name="Normal 223 4" xfId="27499"/>
    <cellStyle name="Normal 223 5" xfId="32460"/>
    <cellStyle name="Normal 223 6" xfId="37318"/>
    <cellStyle name="Normal 223 7" xfId="42049"/>
    <cellStyle name="Normal 224" xfId="10282"/>
    <cellStyle name="Normal 224 2" xfId="17363"/>
    <cellStyle name="Normal 224 3" xfId="22480"/>
    <cellStyle name="Normal 224 4" xfId="27523"/>
    <cellStyle name="Normal 224 5" xfId="32484"/>
    <cellStyle name="Normal 224 6" xfId="37342"/>
    <cellStyle name="Normal 224 7" xfId="42073"/>
    <cellStyle name="Normal 225" xfId="10382"/>
    <cellStyle name="Normal 226" xfId="5706"/>
    <cellStyle name="Normal 227" xfId="5707"/>
    <cellStyle name="Normal 228" xfId="42174"/>
    <cellStyle name="Normal 229" xfId="42178"/>
    <cellStyle name="Normal 23" xfId="188"/>
    <cellStyle name="Normal 23 10" xfId="27863"/>
    <cellStyle name="Normal 23 11" xfId="32732"/>
    <cellStyle name="Normal 23 2" xfId="225"/>
    <cellStyle name="Normal 23 2 2" xfId="11425"/>
    <cellStyle name="Normal 23 2 3" xfId="13088"/>
    <cellStyle name="Normal 23 2 4" xfId="13256"/>
    <cellStyle name="Normal 23 2 5" xfId="11282"/>
    <cellStyle name="Normal 23 2 6" xfId="12981"/>
    <cellStyle name="Normal 23 2 7" xfId="11980"/>
    <cellStyle name="Normal 23 3" xfId="10436"/>
    <cellStyle name="Normal 23 4" xfId="10749"/>
    <cellStyle name="Normal 23 5" xfId="11033"/>
    <cellStyle name="Normal 23 6" xfId="11389"/>
    <cellStyle name="Normal 23 7" xfId="14130"/>
    <cellStyle name="Normal 23 8" xfId="17838"/>
    <cellStyle name="Normal 23 9" xfId="22894"/>
    <cellStyle name="Normal 230" xfId="42179"/>
    <cellStyle name="Normal 231" xfId="5708"/>
    <cellStyle name="Normal 232" xfId="5709"/>
    <cellStyle name="Normal 233" xfId="5705"/>
    <cellStyle name="Normal 24" xfId="192"/>
    <cellStyle name="Normal 24 10" xfId="22815"/>
    <cellStyle name="Normal 24 11" xfId="27806"/>
    <cellStyle name="Normal 24 2" xfId="227"/>
    <cellStyle name="Normal 24 2 2" xfId="11427"/>
    <cellStyle name="Normal 24 2 3" xfId="12900"/>
    <cellStyle name="Normal 24 2 4" xfId="13612"/>
    <cellStyle name="Normal 24 2 5" xfId="12611"/>
    <cellStyle name="Normal 24 2 6" xfId="12486"/>
    <cellStyle name="Normal 24 2 7" xfId="13681"/>
    <cellStyle name="Normal 24 3" xfId="10438"/>
    <cellStyle name="Normal 24 4" xfId="10751"/>
    <cellStyle name="Normal 24 5" xfId="11035"/>
    <cellStyle name="Normal 24 6" xfId="11393"/>
    <cellStyle name="Normal 24 7" xfId="12945"/>
    <cellStyle name="Normal 24 8" xfId="14026"/>
    <cellStyle name="Normal 24 9" xfId="17744"/>
    <cellStyle name="Normal 25" xfId="196"/>
    <cellStyle name="Normal 25 10" xfId="13275"/>
    <cellStyle name="Normal 25 11" xfId="13349"/>
    <cellStyle name="Normal 25 2" xfId="229"/>
    <cellStyle name="Normal 25 2 2" xfId="11429"/>
    <cellStyle name="Normal 25 2 3" xfId="12606"/>
    <cellStyle name="Normal 25 2 4" xfId="11395"/>
    <cellStyle name="Normal 25 2 5" xfId="13278"/>
    <cellStyle name="Normal 25 2 6" xfId="13637"/>
    <cellStyle name="Normal 25 2 7" xfId="13412"/>
    <cellStyle name="Normal 25 3" xfId="10440"/>
    <cellStyle name="Normal 25 4" xfId="10753"/>
    <cellStyle name="Normal 25 5" xfId="11037"/>
    <cellStyle name="Normal 25 6" xfId="11397"/>
    <cellStyle name="Normal 25 7" xfId="12514"/>
    <cellStyle name="Normal 25 8" xfId="13105"/>
    <cellStyle name="Normal 25 9" xfId="12674"/>
    <cellStyle name="Normal 26" xfId="201"/>
    <cellStyle name="Normal 26 10" xfId="13795"/>
    <cellStyle name="Normal 26 11" xfId="17536"/>
    <cellStyle name="Normal 26 2" xfId="231"/>
    <cellStyle name="Normal 26 2 2" xfId="11431"/>
    <cellStyle name="Normal 26 2 3" xfId="13601"/>
    <cellStyle name="Normal 26 2 4" xfId="12682"/>
    <cellStyle name="Normal 26 2 5" xfId="13661"/>
    <cellStyle name="Normal 26 2 6" xfId="12660"/>
    <cellStyle name="Normal 26 2 7" xfId="12930"/>
    <cellStyle name="Normal 26 3" xfId="10442"/>
    <cellStyle name="Normal 26 4" xfId="10755"/>
    <cellStyle name="Normal 26 5" xfId="11039"/>
    <cellStyle name="Normal 26 6" xfId="11400"/>
    <cellStyle name="Normal 26 7" xfId="13505"/>
    <cellStyle name="Normal 26 8" xfId="12314"/>
    <cellStyle name="Normal 26 9" xfId="12637"/>
    <cellStyle name="Normal 27" xfId="233"/>
    <cellStyle name="Normal 27 10" xfId="27814"/>
    <cellStyle name="Normal 27 2" xfId="10444"/>
    <cellStyle name="Normal 27 3" xfId="10757"/>
    <cellStyle name="Normal 27 4" xfId="11041"/>
    <cellStyle name="Normal 27 5" xfId="11433"/>
    <cellStyle name="Normal 27 6" xfId="13200"/>
    <cellStyle name="Normal 27 7" xfId="14042"/>
    <cellStyle name="Normal 27 8" xfId="17759"/>
    <cellStyle name="Normal 27 9" xfId="22827"/>
    <cellStyle name="Normal 28" xfId="235"/>
    <cellStyle name="Normal 28 10" xfId="12020"/>
    <cellStyle name="Normal 28 2" xfId="10446"/>
    <cellStyle name="Normal 28 3" xfId="10759"/>
    <cellStyle name="Normal 28 4" xfId="11043"/>
    <cellStyle name="Normal 28 5" xfId="11435"/>
    <cellStyle name="Normal 28 6" xfId="12895"/>
    <cellStyle name="Normal 28 7" xfId="13511"/>
    <cellStyle name="Normal 28 8" xfId="13613"/>
    <cellStyle name="Normal 28 9" xfId="13591"/>
    <cellStyle name="Normal 29" xfId="237"/>
    <cellStyle name="Normal 29 10" xfId="17505"/>
    <cellStyle name="Normal 29 2" xfId="10448"/>
    <cellStyle name="Normal 29 3" xfId="10761"/>
    <cellStyle name="Normal 29 4" xfId="11045"/>
    <cellStyle name="Normal 29 5" xfId="11437"/>
    <cellStyle name="Normal 29 6" xfId="12869"/>
    <cellStyle name="Normal 29 7" xfId="12133"/>
    <cellStyle name="Normal 29 8" xfId="11330"/>
    <cellStyle name="Normal 29 9" xfId="13760"/>
    <cellStyle name="Normal 3" xfId="50"/>
    <cellStyle name="Normal 3 10" xfId="11266"/>
    <cellStyle name="Normal 3 11" xfId="13787"/>
    <cellStyle name="Normal 3 12" xfId="17528"/>
    <cellStyle name="Normal 3 13" xfId="22630"/>
    <cellStyle name="Normal 3 14" xfId="27657"/>
    <cellStyle name="Normal 3 15" xfId="32608"/>
    <cellStyle name="Normal 3 2" xfId="373"/>
    <cellStyle name="Normal 3 2 10" xfId="17871"/>
    <cellStyle name="Normal 3 2 2" xfId="10584"/>
    <cellStyle name="Normal 3 2 3" xfId="10898"/>
    <cellStyle name="Normal 3 2 4" xfId="11182"/>
    <cellStyle name="Normal 3 2 5" xfId="11573"/>
    <cellStyle name="Normal 3 2 6" xfId="13367"/>
    <cellStyle name="Normal 3 2 7" xfId="11747"/>
    <cellStyle name="Normal 3 2 8" xfId="13195"/>
    <cellStyle name="Normal 3 2 9" xfId="14169"/>
    <cellStyle name="Normal 3 3" xfId="375"/>
    <cellStyle name="Normal 3 3 10" xfId="27874"/>
    <cellStyle name="Normal 3 3 2" xfId="10586"/>
    <cellStyle name="Normal 3 3 3" xfId="10900"/>
    <cellStyle name="Normal 3 3 4" xfId="11184"/>
    <cellStyle name="Normal 3 3 5" xfId="11575"/>
    <cellStyle name="Normal 3 3 6" xfId="12305"/>
    <cellStyle name="Normal 3 3 7" xfId="14151"/>
    <cellStyle name="Normal 3 3 8" xfId="17855"/>
    <cellStyle name="Normal 3 3 9" xfId="22906"/>
    <cellStyle name="Normal 3 4" xfId="1303"/>
    <cellStyle name="Normal 3 4 10" xfId="4539"/>
    <cellStyle name="Normal 3 4 10 2" xfId="6185"/>
    <cellStyle name="Normal 3 4 10 3" xfId="18289"/>
    <cellStyle name="Normal 3 4 10 4" xfId="23332"/>
    <cellStyle name="Normal 3 4 10 5" xfId="28293"/>
    <cellStyle name="Normal 3 4 10 6" xfId="33151"/>
    <cellStyle name="Normal 3 4 10 7" xfId="37882"/>
    <cellStyle name="Normal 3 4 11" xfId="4614"/>
    <cellStyle name="Normal 3 4 11 2" xfId="6319"/>
    <cellStyle name="Normal 3 4 11 3" xfId="18427"/>
    <cellStyle name="Normal 3 4 11 4" xfId="23470"/>
    <cellStyle name="Normal 3 4 11 5" xfId="28431"/>
    <cellStyle name="Normal 3 4 11 6" xfId="33289"/>
    <cellStyle name="Normal 3 4 11 7" xfId="38020"/>
    <cellStyle name="Normal 3 4 12" xfId="4671"/>
    <cellStyle name="Normal 3 4 12 2" xfId="5883"/>
    <cellStyle name="Normal 3 4 12 3" xfId="17983"/>
    <cellStyle name="Normal 3 4 12 4" xfId="23026"/>
    <cellStyle name="Normal 3 4 12 5" xfId="27987"/>
    <cellStyle name="Normal 3 4 12 6" xfId="32845"/>
    <cellStyle name="Normal 3 4 12 7" xfId="37576"/>
    <cellStyle name="Normal 3 4 13" xfId="4791"/>
    <cellStyle name="Normal 3 4 13 2" xfId="5813"/>
    <cellStyle name="Normal 3 4 13 3" xfId="17910"/>
    <cellStyle name="Normal 3 4 13 4" xfId="22953"/>
    <cellStyle name="Normal 3 4 13 5" xfId="27914"/>
    <cellStyle name="Normal 3 4 13 6" xfId="32772"/>
    <cellStyle name="Normal 3 4 13 7" xfId="37503"/>
    <cellStyle name="Normal 3 4 14" xfId="4811"/>
    <cellStyle name="Normal 3 4 14 2" xfId="6193"/>
    <cellStyle name="Normal 3 4 14 3" xfId="18297"/>
    <cellStyle name="Normal 3 4 14 4" xfId="23340"/>
    <cellStyle name="Normal 3 4 14 5" xfId="28301"/>
    <cellStyle name="Normal 3 4 14 6" xfId="33159"/>
    <cellStyle name="Normal 3 4 14 7" xfId="37890"/>
    <cellStyle name="Normal 3 4 15" xfId="4838"/>
    <cellStyle name="Normal 3 4 15 2" xfId="6430"/>
    <cellStyle name="Normal 3 4 15 3" xfId="18540"/>
    <cellStyle name="Normal 3 4 15 4" xfId="23583"/>
    <cellStyle name="Normal 3 4 15 5" xfId="28544"/>
    <cellStyle name="Normal 3 4 15 6" xfId="33402"/>
    <cellStyle name="Normal 3 4 15 7" xfId="38133"/>
    <cellStyle name="Normal 3 4 16" xfId="4802"/>
    <cellStyle name="Normal 3 4 16 2" xfId="6360"/>
    <cellStyle name="Normal 3 4 16 3" xfId="18469"/>
    <cellStyle name="Normal 3 4 16 4" xfId="23512"/>
    <cellStyle name="Normal 3 4 16 5" xfId="28473"/>
    <cellStyle name="Normal 3 4 16 6" xfId="33331"/>
    <cellStyle name="Normal 3 4 16 7" xfId="38062"/>
    <cellStyle name="Normal 3 4 17" xfId="5008"/>
    <cellStyle name="Normal 3 4 17 2" xfId="5874"/>
    <cellStyle name="Normal 3 4 17 3" xfId="17974"/>
    <cellStyle name="Normal 3 4 17 4" xfId="23017"/>
    <cellStyle name="Normal 3 4 17 5" xfId="27978"/>
    <cellStyle name="Normal 3 4 17 6" xfId="32836"/>
    <cellStyle name="Normal 3 4 17 7" xfId="37567"/>
    <cellStyle name="Normal 3 4 18" xfId="5026"/>
    <cellStyle name="Normal 3 4 18 2" xfId="6211"/>
    <cellStyle name="Normal 3 4 18 3" xfId="18315"/>
    <cellStyle name="Normal 3 4 18 4" xfId="23358"/>
    <cellStyle name="Normal 3 4 18 5" xfId="28319"/>
    <cellStyle name="Normal 3 4 18 6" xfId="33177"/>
    <cellStyle name="Normal 3 4 18 7" xfId="37908"/>
    <cellStyle name="Normal 3 4 19" xfId="5138"/>
    <cellStyle name="Normal 3 4 19 2" xfId="6472"/>
    <cellStyle name="Normal 3 4 19 3" xfId="18582"/>
    <cellStyle name="Normal 3 4 19 4" xfId="23625"/>
    <cellStyle name="Normal 3 4 19 5" xfId="28586"/>
    <cellStyle name="Normal 3 4 19 6" xfId="33444"/>
    <cellStyle name="Normal 3 4 19 7" xfId="38175"/>
    <cellStyle name="Normal 3 4 2" xfId="1575"/>
    <cellStyle name="Normal 3 4 2 2" xfId="2481"/>
    <cellStyle name="Normal 3 4 2 2 10" xfId="4628"/>
    <cellStyle name="Normal 3 4 2 2 10 2" xfId="5994"/>
    <cellStyle name="Normal 3 4 2 2 10 3" xfId="18097"/>
    <cellStyle name="Normal 3 4 2 2 10 4" xfId="23140"/>
    <cellStyle name="Normal 3 4 2 2 10 5" xfId="28101"/>
    <cellStyle name="Normal 3 4 2 2 10 6" xfId="32959"/>
    <cellStyle name="Normal 3 4 2 2 10 7" xfId="37690"/>
    <cellStyle name="Normal 3 4 2 2 11" xfId="4693"/>
    <cellStyle name="Normal 3 4 2 2 11 2" xfId="5880"/>
    <cellStyle name="Normal 3 4 2 2 11 3" xfId="17980"/>
    <cellStyle name="Normal 3 4 2 2 11 4" xfId="23023"/>
    <cellStyle name="Normal 3 4 2 2 11 5" xfId="27984"/>
    <cellStyle name="Normal 3 4 2 2 11 6" xfId="32842"/>
    <cellStyle name="Normal 3 4 2 2 11 7" xfId="37573"/>
    <cellStyle name="Normal 3 4 2 2 12" xfId="4849"/>
    <cellStyle name="Normal 3 4 2 2 12 2" xfId="6212"/>
    <cellStyle name="Normal 3 4 2 2 12 3" xfId="18316"/>
    <cellStyle name="Normal 3 4 2 2 12 4" xfId="23359"/>
    <cellStyle name="Normal 3 4 2 2 12 5" xfId="28320"/>
    <cellStyle name="Normal 3 4 2 2 12 6" xfId="33178"/>
    <cellStyle name="Normal 3 4 2 2 12 7" xfId="37909"/>
    <cellStyle name="Normal 3 4 2 2 13" xfId="4925"/>
    <cellStyle name="Normal 3 4 2 2 13 2" xfId="6182"/>
    <cellStyle name="Normal 3 4 2 2 13 3" xfId="18286"/>
    <cellStyle name="Normal 3 4 2 2 13 4" xfId="23329"/>
    <cellStyle name="Normal 3 4 2 2 13 5" xfId="28290"/>
    <cellStyle name="Normal 3 4 2 2 13 6" xfId="33148"/>
    <cellStyle name="Normal 3 4 2 2 13 7" xfId="37879"/>
    <cellStyle name="Normal 3 4 2 2 14" xfId="4875"/>
    <cellStyle name="Normal 3 4 2 2 14 2" xfId="6186"/>
    <cellStyle name="Normal 3 4 2 2 14 3" xfId="18290"/>
    <cellStyle name="Normal 3 4 2 2 14 4" xfId="23333"/>
    <cellStyle name="Normal 3 4 2 2 14 5" xfId="28294"/>
    <cellStyle name="Normal 3 4 2 2 14 6" xfId="33152"/>
    <cellStyle name="Normal 3 4 2 2 14 7" xfId="37883"/>
    <cellStyle name="Normal 3 4 2 2 15" xfId="4800"/>
    <cellStyle name="Normal 3 4 2 2 15 2" xfId="6465"/>
    <cellStyle name="Normal 3 4 2 2 15 3" xfId="18575"/>
    <cellStyle name="Normal 3 4 2 2 15 4" xfId="23618"/>
    <cellStyle name="Normal 3 4 2 2 15 5" xfId="28579"/>
    <cellStyle name="Normal 3 4 2 2 15 6" xfId="33437"/>
    <cellStyle name="Normal 3 4 2 2 15 7" xfId="38168"/>
    <cellStyle name="Normal 3 4 2 2 16" xfId="5074"/>
    <cellStyle name="Normal 3 4 2 2 16 2" xfId="5872"/>
    <cellStyle name="Normal 3 4 2 2 16 3" xfId="17972"/>
    <cellStyle name="Normal 3 4 2 2 16 4" xfId="23015"/>
    <cellStyle name="Normal 3 4 2 2 16 5" xfId="27976"/>
    <cellStyle name="Normal 3 4 2 2 16 6" xfId="32834"/>
    <cellStyle name="Normal 3 4 2 2 16 7" xfId="37565"/>
    <cellStyle name="Normal 3 4 2 2 17" xfId="5142"/>
    <cellStyle name="Normal 3 4 2 2 17 2" xfId="6037"/>
    <cellStyle name="Normal 3 4 2 2 17 3" xfId="18141"/>
    <cellStyle name="Normal 3 4 2 2 17 4" xfId="23184"/>
    <cellStyle name="Normal 3 4 2 2 17 5" xfId="28145"/>
    <cellStyle name="Normal 3 4 2 2 17 6" xfId="33003"/>
    <cellStyle name="Normal 3 4 2 2 17 7" xfId="37734"/>
    <cellStyle name="Normal 3 4 2 2 18" xfId="5054"/>
    <cellStyle name="Normal 3 4 2 2 18 2" xfId="6332"/>
    <cellStyle name="Normal 3 4 2 2 18 3" xfId="18440"/>
    <cellStyle name="Normal 3 4 2 2 18 4" xfId="23483"/>
    <cellStyle name="Normal 3 4 2 2 18 5" xfId="28444"/>
    <cellStyle name="Normal 3 4 2 2 18 6" xfId="33302"/>
    <cellStyle name="Normal 3 4 2 2 18 7" xfId="38033"/>
    <cellStyle name="Normal 3 4 2 2 19" xfId="5028"/>
    <cellStyle name="Normal 3 4 2 2 19 2" xfId="6769"/>
    <cellStyle name="Normal 3 4 2 2 19 3" xfId="18890"/>
    <cellStyle name="Normal 3 4 2 2 19 4" xfId="23933"/>
    <cellStyle name="Normal 3 4 2 2 19 5" xfId="28894"/>
    <cellStyle name="Normal 3 4 2 2 19 6" xfId="33752"/>
    <cellStyle name="Normal 3 4 2 2 19 7" xfId="38483"/>
    <cellStyle name="Normal 3 4 2 2 2" xfId="2500"/>
    <cellStyle name="Normal 3 4 2 2 2 2" xfId="13047"/>
    <cellStyle name="Normal 3 4 2 2 2 3" xfId="12412"/>
    <cellStyle name="Normal 3 4 2 2 2 4" xfId="11301"/>
    <cellStyle name="Normal 3 4 2 2 2 5" xfId="14187"/>
    <cellStyle name="Normal 3 4 2 2 2 6" xfId="17888"/>
    <cellStyle name="Normal 3 4 2 2 2 7" xfId="22931"/>
    <cellStyle name="Normal 3 4 2 2 20" xfId="5427"/>
    <cellStyle name="Normal 3 4 2 2 20 2" xfId="6841"/>
    <cellStyle name="Normal 3 4 2 2 20 3" xfId="18962"/>
    <cellStyle name="Normal 3 4 2 2 20 4" xfId="24005"/>
    <cellStyle name="Normal 3 4 2 2 20 5" xfId="28966"/>
    <cellStyle name="Normal 3 4 2 2 20 6" xfId="33824"/>
    <cellStyle name="Normal 3 4 2 2 20 7" xfId="38555"/>
    <cellStyle name="Normal 3 4 2 2 21" xfId="5595"/>
    <cellStyle name="Normal 3 4 2 2 21 2" xfId="6795"/>
    <cellStyle name="Normal 3 4 2 2 21 3" xfId="18916"/>
    <cellStyle name="Normal 3 4 2 2 21 4" xfId="23959"/>
    <cellStyle name="Normal 3 4 2 2 21 5" xfId="28920"/>
    <cellStyle name="Normal 3 4 2 2 21 6" xfId="33778"/>
    <cellStyle name="Normal 3 4 2 2 21 7" xfId="38509"/>
    <cellStyle name="Normal 3 4 2 2 22" xfId="5466"/>
    <cellStyle name="Normal 3 4 2 2 22 2" xfId="6716"/>
    <cellStyle name="Normal 3 4 2 2 22 3" xfId="18837"/>
    <cellStyle name="Normal 3 4 2 2 22 4" xfId="23880"/>
    <cellStyle name="Normal 3 4 2 2 22 5" xfId="28841"/>
    <cellStyle name="Normal 3 4 2 2 22 6" xfId="33699"/>
    <cellStyle name="Normal 3 4 2 2 22 7" xfId="38430"/>
    <cellStyle name="Normal 3 4 2 2 23" xfId="5321"/>
    <cellStyle name="Normal 3 4 2 2 23 2" xfId="7172"/>
    <cellStyle name="Normal 3 4 2 2 23 3" xfId="19327"/>
    <cellStyle name="Normal 3 4 2 2 23 4" xfId="24370"/>
    <cellStyle name="Normal 3 4 2 2 23 5" xfId="29331"/>
    <cellStyle name="Normal 3 4 2 2 23 6" xfId="34189"/>
    <cellStyle name="Normal 3 4 2 2 23 7" xfId="38920"/>
    <cellStyle name="Normal 3 4 2 2 24" xfId="5224"/>
    <cellStyle name="Normal 3 4 2 2 24 2" xfId="7359"/>
    <cellStyle name="Normal 3 4 2 2 24 3" xfId="19532"/>
    <cellStyle name="Normal 3 4 2 2 24 4" xfId="24575"/>
    <cellStyle name="Normal 3 4 2 2 24 5" xfId="29536"/>
    <cellStyle name="Normal 3 4 2 2 24 6" xfId="34394"/>
    <cellStyle name="Normal 3 4 2 2 24 7" xfId="39125"/>
    <cellStyle name="Normal 3 4 2 2 25" xfId="5217"/>
    <cellStyle name="Normal 3 4 2 2 25 2" xfId="7217"/>
    <cellStyle name="Normal 3 4 2 2 25 3" xfId="19374"/>
    <cellStyle name="Normal 3 4 2 2 25 4" xfId="24417"/>
    <cellStyle name="Normal 3 4 2 2 25 5" xfId="29378"/>
    <cellStyle name="Normal 3 4 2 2 25 6" xfId="34236"/>
    <cellStyle name="Normal 3 4 2 2 25 7" xfId="38967"/>
    <cellStyle name="Normal 3 4 2 2 26" xfId="5274"/>
    <cellStyle name="Normal 3 4 2 2 26 2" xfId="7034"/>
    <cellStyle name="Normal 3 4 2 2 26 3" xfId="19174"/>
    <cellStyle name="Normal 3 4 2 2 26 4" xfId="24217"/>
    <cellStyle name="Normal 3 4 2 2 26 5" xfId="29178"/>
    <cellStyle name="Normal 3 4 2 2 26 6" xfId="34036"/>
    <cellStyle name="Normal 3 4 2 2 26 7" xfId="38767"/>
    <cellStyle name="Normal 3 4 2 2 27" xfId="5275"/>
    <cellStyle name="Normal 3 4 2 2 27 2" xfId="6921"/>
    <cellStyle name="Normal 3 4 2 2 27 3" xfId="19049"/>
    <cellStyle name="Normal 3 4 2 2 27 4" xfId="24092"/>
    <cellStyle name="Normal 3 4 2 2 27 5" xfId="29053"/>
    <cellStyle name="Normal 3 4 2 2 27 6" xfId="33911"/>
    <cellStyle name="Normal 3 4 2 2 27 7" xfId="38642"/>
    <cellStyle name="Normal 3 4 2 2 28" xfId="5191"/>
    <cellStyle name="Normal 3 4 2 2 28 2" xfId="6919"/>
    <cellStyle name="Normal 3 4 2 2 28 3" xfId="19047"/>
    <cellStyle name="Normal 3 4 2 2 28 4" xfId="24090"/>
    <cellStyle name="Normal 3 4 2 2 28 5" xfId="29051"/>
    <cellStyle name="Normal 3 4 2 2 28 6" xfId="33909"/>
    <cellStyle name="Normal 3 4 2 2 28 7" xfId="38640"/>
    <cellStyle name="Normal 3 4 2 2 29" xfId="5779"/>
    <cellStyle name="Normal 3 4 2 2 29 2" xfId="14241"/>
    <cellStyle name="Normal 3 4 2 2 29 3" xfId="19041"/>
    <cellStyle name="Normal 3 4 2 2 29 4" xfId="24084"/>
    <cellStyle name="Normal 3 4 2 2 29 5" xfId="29045"/>
    <cellStyle name="Normal 3 4 2 2 29 6" xfId="33903"/>
    <cellStyle name="Normal 3 4 2 2 29 7" xfId="38634"/>
    <cellStyle name="Normal 3 4 2 2 3" xfId="4293"/>
    <cellStyle name="Normal 3 4 2 2 3 2" xfId="6206"/>
    <cellStyle name="Normal 3 4 2 2 3 3" xfId="18310"/>
    <cellStyle name="Normal 3 4 2 2 3 4" xfId="23353"/>
    <cellStyle name="Normal 3 4 2 2 3 5" xfId="28314"/>
    <cellStyle name="Normal 3 4 2 2 3 6" xfId="33172"/>
    <cellStyle name="Normal 3 4 2 2 3 7" xfId="37903"/>
    <cellStyle name="Normal 3 4 2 2 30" xfId="7015"/>
    <cellStyle name="Normal 3 4 2 2 30 2" xfId="14302"/>
    <cellStyle name="Normal 3 4 2 2 30 3" xfId="19154"/>
    <cellStyle name="Normal 3 4 2 2 30 4" xfId="24197"/>
    <cellStyle name="Normal 3 4 2 2 30 5" xfId="29158"/>
    <cellStyle name="Normal 3 4 2 2 30 6" xfId="34016"/>
    <cellStyle name="Normal 3 4 2 2 30 7" xfId="38747"/>
    <cellStyle name="Normal 3 4 2 2 31" xfId="6937"/>
    <cellStyle name="Normal 3 4 2 2 31 2" xfId="14252"/>
    <cellStyle name="Normal 3 4 2 2 31 3" xfId="19066"/>
    <cellStyle name="Normal 3 4 2 2 31 4" xfId="24109"/>
    <cellStyle name="Normal 3 4 2 2 31 5" xfId="29070"/>
    <cellStyle name="Normal 3 4 2 2 31 6" xfId="33928"/>
    <cellStyle name="Normal 3 4 2 2 31 7" xfId="38659"/>
    <cellStyle name="Normal 3 4 2 2 32" xfId="7177"/>
    <cellStyle name="Normal 3 4 2 2 32 2" xfId="14383"/>
    <cellStyle name="Normal 3 4 2 2 32 3" xfId="19332"/>
    <cellStyle name="Normal 3 4 2 2 32 4" xfId="24375"/>
    <cellStyle name="Normal 3 4 2 2 32 5" xfId="29336"/>
    <cellStyle name="Normal 3 4 2 2 32 6" xfId="34194"/>
    <cellStyle name="Normal 3 4 2 2 32 7" xfId="38925"/>
    <cellStyle name="Normal 3 4 2 2 33" xfId="7154"/>
    <cellStyle name="Normal 3 4 2 2 33 2" xfId="14374"/>
    <cellStyle name="Normal 3 4 2 2 33 3" xfId="19306"/>
    <cellStyle name="Normal 3 4 2 2 33 4" xfId="24349"/>
    <cellStyle name="Normal 3 4 2 2 33 5" xfId="29310"/>
    <cellStyle name="Normal 3 4 2 2 33 6" xfId="34168"/>
    <cellStyle name="Normal 3 4 2 2 33 7" xfId="38899"/>
    <cellStyle name="Normal 3 4 2 2 34" xfId="7156"/>
    <cellStyle name="Normal 3 4 2 2 34 2" xfId="14376"/>
    <cellStyle name="Normal 3 4 2 2 34 3" xfId="19309"/>
    <cellStyle name="Normal 3 4 2 2 34 4" xfId="24352"/>
    <cellStyle name="Normal 3 4 2 2 34 5" xfId="29313"/>
    <cellStyle name="Normal 3 4 2 2 34 6" xfId="34171"/>
    <cellStyle name="Normal 3 4 2 2 34 7" xfId="38902"/>
    <cellStyle name="Normal 3 4 2 2 35" xfId="7833"/>
    <cellStyle name="Normal 3 4 2 2 35 2" xfId="14913"/>
    <cellStyle name="Normal 3 4 2 2 35 3" xfId="20030"/>
    <cellStyle name="Normal 3 4 2 2 35 4" xfId="25073"/>
    <cellStyle name="Normal 3 4 2 2 35 5" xfId="30034"/>
    <cellStyle name="Normal 3 4 2 2 35 6" xfId="34892"/>
    <cellStyle name="Normal 3 4 2 2 35 7" xfId="39623"/>
    <cellStyle name="Normal 3 4 2 2 36" xfId="8081"/>
    <cellStyle name="Normal 3 4 2 2 36 2" xfId="15161"/>
    <cellStyle name="Normal 3 4 2 2 36 3" xfId="20278"/>
    <cellStyle name="Normal 3 4 2 2 36 4" xfId="25321"/>
    <cellStyle name="Normal 3 4 2 2 36 5" xfId="30282"/>
    <cellStyle name="Normal 3 4 2 2 36 6" xfId="35140"/>
    <cellStyle name="Normal 3 4 2 2 36 7" xfId="39871"/>
    <cellStyle name="Normal 3 4 2 2 37" xfId="7885"/>
    <cellStyle name="Normal 3 4 2 2 37 2" xfId="14965"/>
    <cellStyle name="Normal 3 4 2 2 37 3" xfId="20082"/>
    <cellStyle name="Normal 3 4 2 2 37 4" xfId="25125"/>
    <cellStyle name="Normal 3 4 2 2 37 5" xfId="30086"/>
    <cellStyle name="Normal 3 4 2 2 37 6" xfId="34944"/>
    <cellStyle name="Normal 3 4 2 2 37 7" xfId="39675"/>
    <cellStyle name="Normal 3 4 2 2 38" xfId="7663"/>
    <cellStyle name="Normal 3 4 2 2 38 2" xfId="14743"/>
    <cellStyle name="Normal 3 4 2 2 38 3" xfId="19860"/>
    <cellStyle name="Normal 3 4 2 2 38 4" xfId="24903"/>
    <cellStyle name="Normal 3 4 2 2 38 5" xfId="29864"/>
    <cellStyle name="Normal 3 4 2 2 38 6" xfId="34722"/>
    <cellStyle name="Normal 3 4 2 2 38 7" xfId="39453"/>
    <cellStyle name="Normal 3 4 2 2 39" xfId="7519"/>
    <cellStyle name="Normal 3 4 2 2 39 2" xfId="14597"/>
    <cellStyle name="Normal 3 4 2 2 39 3" xfId="19714"/>
    <cellStyle name="Normal 3 4 2 2 39 4" xfId="24757"/>
    <cellStyle name="Normal 3 4 2 2 39 5" xfId="29718"/>
    <cellStyle name="Normal 3 4 2 2 39 6" xfId="34576"/>
    <cellStyle name="Normal 3 4 2 2 39 7" xfId="39307"/>
    <cellStyle name="Normal 3 4 2 2 4" xfId="4348"/>
    <cellStyle name="Normal 3 4 2 2 4 2" xfId="6482"/>
    <cellStyle name="Normal 3 4 2 2 4 3" xfId="18592"/>
    <cellStyle name="Normal 3 4 2 2 4 4" xfId="23635"/>
    <cellStyle name="Normal 3 4 2 2 4 5" xfId="28596"/>
    <cellStyle name="Normal 3 4 2 2 4 6" xfId="33454"/>
    <cellStyle name="Normal 3 4 2 2 4 7" xfId="38185"/>
    <cellStyle name="Normal 3 4 2 2 40" xfId="7516"/>
    <cellStyle name="Normal 3 4 2 2 40 2" xfId="14594"/>
    <cellStyle name="Normal 3 4 2 2 40 3" xfId="19711"/>
    <cellStyle name="Normal 3 4 2 2 40 4" xfId="24754"/>
    <cellStyle name="Normal 3 4 2 2 40 5" xfId="29715"/>
    <cellStyle name="Normal 3 4 2 2 40 6" xfId="34573"/>
    <cellStyle name="Normal 3 4 2 2 40 7" xfId="39304"/>
    <cellStyle name="Normal 3 4 2 2 41" xfId="7509"/>
    <cellStyle name="Normal 3 4 2 2 41 2" xfId="14586"/>
    <cellStyle name="Normal 3 4 2 2 41 3" xfId="19703"/>
    <cellStyle name="Normal 3 4 2 2 41 4" xfId="24746"/>
    <cellStyle name="Normal 3 4 2 2 41 5" xfId="29707"/>
    <cellStyle name="Normal 3 4 2 2 41 6" xfId="34565"/>
    <cellStyle name="Normal 3 4 2 2 41 7" xfId="39296"/>
    <cellStyle name="Normal 3 4 2 2 42" xfId="7642"/>
    <cellStyle name="Normal 3 4 2 2 42 2" xfId="14722"/>
    <cellStyle name="Normal 3 4 2 2 42 3" xfId="19839"/>
    <cellStyle name="Normal 3 4 2 2 42 4" xfId="24882"/>
    <cellStyle name="Normal 3 4 2 2 42 5" xfId="29843"/>
    <cellStyle name="Normal 3 4 2 2 42 6" xfId="34701"/>
    <cellStyle name="Normal 3 4 2 2 42 7" xfId="39432"/>
    <cellStyle name="Normal 3 4 2 2 43" xfId="7540"/>
    <cellStyle name="Normal 3 4 2 2 43 2" xfId="14618"/>
    <cellStyle name="Normal 3 4 2 2 43 3" xfId="19735"/>
    <cellStyle name="Normal 3 4 2 2 43 4" xfId="24778"/>
    <cellStyle name="Normal 3 4 2 2 43 5" xfId="29739"/>
    <cellStyle name="Normal 3 4 2 2 43 6" xfId="34597"/>
    <cellStyle name="Normal 3 4 2 2 43 7" xfId="39328"/>
    <cellStyle name="Normal 3 4 2 2 44" xfId="7838"/>
    <cellStyle name="Normal 3 4 2 2 44 2" xfId="14918"/>
    <cellStyle name="Normal 3 4 2 2 44 3" xfId="20035"/>
    <cellStyle name="Normal 3 4 2 2 44 4" xfId="25078"/>
    <cellStyle name="Normal 3 4 2 2 44 5" xfId="30039"/>
    <cellStyle name="Normal 3 4 2 2 44 6" xfId="34897"/>
    <cellStyle name="Normal 3 4 2 2 44 7" xfId="39628"/>
    <cellStyle name="Normal 3 4 2 2 45" xfId="7811"/>
    <cellStyle name="Normal 3 4 2 2 45 2" xfId="14891"/>
    <cellStyle name="Normal 3 4 2 2 45 3" xfId="20008"/>
    <cellStyle name="Normal 3 4 2 2 45 4" xfId="25051"/>
    <cellStyle name="Normal 3 4 2 2 45 5" xfId="30012"/>
    <cellStyle name="Normal 3 4 2 2 45 6" xfId="34870"/>
    <cellStyle name="Normal 3 4 2 2 45 7" xfId="39601"/>
    <cellStyle name="Normal 3 4 2 2 46" xfId="7815"/>
    <cellStyle name="Normal 3 4 2 2 46 2" xfId="14895"/>
    <cellStyle name="Normal 3 4 2 2 46 3" xfId="20012"/>
    <cellStyle name="Normal 3 4 2 2 46 4" xfId="25055"/>
    <cellStyle name="Normal 3 4 2 2 46 5" xfId="30016"/>
    <cellStyle name="Normal 3 4 2 2 46 6" xfId="34874"/>
    <cellStyle name="Normal 3 4 2 2 46 7" xfId="39605"/>
    <cellStyle name="Normal 3 4 2 2 47" xfId="8066"/>
    <cellStyle name="Normal 3 4 2 2 47 2" xfId="15146"/>
    <cellStyle name="Normal 3 4 2 2 47 3" xfId="20263"/>
    <cellStyle name="Normal 3 4 2 2 47 4" xfId="25306"/>
    <cellStyle name="Normal 3 4 2 2 47 5" xfId="30267"/>
    <cellStyle name="Normal 3 4 2 2 47 6" xfId="35125"/>
    <cellStyle name="Normal 3 4 2 2 47 7" xfId="39856"/>
    <cellStyle name="Normal 3 4 2 2 48" xfId="7532"/>
    <cellStyle name="Normal 3 4 2 2 48 2" xfId="14610"/>
    <cellStyle name="Normal 3 4 2 2 48 3" xfId="19727"/>
    <cellStyle name="Normal 3 4 2 2 48 4" xfId="24770"/>
    <cellStyle name="Normal 3 4 2 2 48 5" xfId="29731"/>
    <cellStyle name="Normal 3 4 2 2 48 6" xfId="34589"/>
    <cellStyle name="Normal 3 4 2 2 48 7" xfId="39320"/>
    <cellStyle name="Normal 3 4 2 2 49" xfId="8628"/>
    <cellStyle name="Normal 3 4 2 2 49 2" xfId="15709"/>
    <cellStyle name="Normal 3 4 2 2 49 3" xfId="20826"/>
    <cellStyle name="Normal 3 4 2 2 49 4" xfId="25869"/>
    <cellStyle name="Normal 3 4 2 2 49 5" xfId="30830"/>
    <cellStyle name="Normal 3 4 2 2 49 6" xfId="35688"/>
    <cellStyle name="Normal 3 4 2 2 49 7" xfId="40419"/>
    <cellStyle name="Normal 3 4 2 2 5" xfId="4344"/>
    <cellStyle name="Normal 3 4 2 2 5 2" xfId="6264"/>
    <cellStyle name="Normal 3 4 2 2 5 3" xfId="18368"/>
    <cellStyle name="Normal 3 4 2 2 5 4" xfId="23411"/>
    <cellStyle name="Normal 3 4 2 2 5 5" xfId="28372"/>
    <cellStyle name="Normal 3 4 2 2 5 6" xfId="33230"/>
    <cellStyle name="Normal 3 4 2 2 5 7" xfId="37961"/>
    <cellStyle name="Normal 3 4 2 2 50" xfId="8878"/>
    <cellStyle name="Normal 3 4 2 2 50 2" xfId="15959"/>
    <cellStyle name="Normal 3 4 2 2 50 3" xfId="21076"/>
    <cellStyle name="Normal 3 4 2 2 50 4" xfId="26119"/>
    <cellStyle name="Normal 3 4 2 2 50 5" xfId="31080"/>
    <cellStyle name="Normal 3 4 2 2 50 6" xfId="35938"/>
    <cellStyle name="Normal 3 4 2 2 50 7" xfId="40669"/>
    <cellStyle name="Normal 3 4 2 2 51" xfId="8689"/>
    <cellStyle name="Normal 3 4 2 2 51 2" xfId="15770"/>
    <cellStyle name="Normal 3 4 2 2 51 3" xfId="20887"/>
    <cellStyle name="Normal 3 4 2 2 51 4" xfId="25930"/>
    <cellStyle name="Normal 3 4 2 2 51 5" xfId="30891"/>
    <cellStyle name="Normal 3 4 2 2 51 6" xfId="35749"/>
    <cellStyle name="Normal 3 4 2 2 51 7" xfId="40480"/>
    <cellStyle name="Normal 3 4 2 2 52" xfId="8442"/>
    <cellStyle name="Normal 3 4 2 2 52 2" xfId="15523"/>
    <cellStyle name="Normal 3 4 2 2 52 3" xfId="20640"/>
    <cellStyle name="Normal 3 4 2 2 52 4" xfId="25683"/>
    <cellStyle name="Normal 3 4 2 2 52 5" xfId="30644"/>
    <cellStyle name="Normal 3 4 2 2 52 6" xfId="35502"/>
    <cellStyle name="Normal 3 4 2 2 52 7" xfId="40233"/>
    <cellStyle name="Normal 3 4 2 2 53" xfId="8298"/>
    <cellStyle name="Normal 3 4 2 2 53 2" xfId="15379"/>
    <cellStyle name="Normal 3 4 2 2 53 3" xfId="20496"/>
    <cellStyle name="Normal 3 4 2 2 53 4" xfId="25539"/>
    <cellStyle name="Normal 3 4 2 2 53 5" xfId="30500"/>
    <cellStyle name="Normal 3 4 2 2 53 6" xfId="35358"/>
    <cellStyle name="Normal 3 4 2 2 53 7" xfId="40089"/>
    <cellStyle name="Normal 3 4 2 2 54" xfId="8296"/>
    <cellStyle name="Normal 3 4 2 2 54 2" xfId="15377"/>
    <cellStyle name="Normal 3 4 2 2 54 3" xfId="20494"/>
    <cellStyle name="Normal 3 4 2 2 54 4" xfId="25537"/>
    <cellStyle name="Normal 3 4 2 2 54 5" xfId="30498"/>
    <cellStyle name="Normal 3 4 2 2 54 6" xfId="35356"/>
    <cellStyle name="Normal 3 4 2 2 54 7" xfId="40087"/>
    <cellStyle name="Normal 3 4 2 2 55" xfId="8291"/>
    <cellStyle name="Normal 3 4 2 2 55 2" xfId="15372"/>
    <cellStyle name="Normal 3 4 2 2 55 3" xfId="20489"/>
    <cellStyle name="Normal 3 4 2 2 55 4" xfId="25532"/>
    <cellStyle name="Normal 3 4 2 2 55 5" xfId="30493"/>
    <cellStyle name="Normal 3 4 2 2 55 6" xfId="35351"/>
    <cellStyle name="Normal 3 4 2 2 55 7" xfId="40082"/>
    <cellStyle name="Normal 3 4 2 2 56" xfId="8328"/>
    <cellStyle name="Normal 3 4 2 2 56 2" xfId="15409"/>
    <cellStyle name="Normal 3 4 2 2 56 3" xfId="20526"/>
    <cellStyle name="Normal 3 4 2 2 56 4" xfId="25569"/>
    <cellStyle name="Normal 3 4 2 2 56 5" xfId="30530"/>
    <cellStyle name="Normal 3 4 2 2 56 6" xfId="35388"/>
    <cellStyle name="Normal 3 4 2 2 56 7" xfId="40119"/>
    <cellStyle name="Normal 3 4 2 2 57" xfId="8432"/>
    <cellStyle name="Normal 3 4 2 2 57 2" xfId="15513"/>
    <cellStyle name="Normal 3 4 2 2 57 3" xfId="20630"/>
    <cellStyle name="Normal 3 4 2 2 57 4" xfId="25673"/>
    <cellStyle name="Normal 3 4 2 2 57 5" xfId="30634"/>
    <cellStyle name="Normal 3 4 2 2 57 6" xfId="35492"/>
    <cellStyle name="Normal 3 4 2 2 57 7" xfId="40223"/>
    <cellStyle name="Normal 3 4 2 2 58" xfId="8973"/>
    <cellStyle name="Normal 3 4 2 2 58 2" xfId="16054"/>
    <cellStyle name="Normal 3 4 2 2 58 3" xfId="21171"/>
    <cellStyle name="Normal 3 4 2 2 58 4" xfId="26214"/>
    <cellStyle name="Normal 3 4 2 2 58 5" xfId="31175"/>
    <cellStyle name="Normal 3 4 2 2 58 6" xfId="36033"/>
    <cellStyle name="Normal 3 4 2 2 58 7" xfId="40764"/>
    <cellStyle name="Normal 3 4 2 2 59" xfId="8244"/>
    <cellStyle name="Normal 3 4 2 2 59 2" xfId="15325"/>
    <cellStyle name="Normal 3 4 2 2 59 3" xfId="20442"/>
    <cellStyle name="Normal 3 4 2 2 59 4" xfId="25485"/>
    <cellStyle name="Normal 3 4 2 2 59 5" xfId="30446"/>
    <cellStyle name="Normal 3 4 2 2 59 6" xfId="35304"/>
    <cellStyle name="Normal 3 4 2 2 59 7" xfId="40035"/>
    <cellStyle name="Normal 3 4 2 2 6" xfId="4411"/>
    <cellStyle name="Normal 3 4 2 2 6 2" xfId="6016"/>
    <cellStyle name="Normal 3 4 2 2 6 3" xfId="18119"/>
    <cellStyle name="Normal 3 4 2 2 6 4" xfId="23162"/>
    <cellStyle name="Normal 3 4 2 2 6 5" xfId="28123"/>
    <cellStyle name="Normal 3 4 2 2 6 6" xfId="32981"/>
    <cellStyle name="Normal 3 4 2 2 6 7" xfId="37712"/>
    <cellStyle name="Normal 3 4 2 2 60" xfId="8785"/>
    <cellStyle name="Normal 3 4 2 2 60 2" xfId="15866"/>
    <cellStyle name="Normal 3 4 2 2 60 3" xfId="20983"/>
    <cellStyle name="Normal 3 4 2 2 60 4" xfId="26026"/>
    <cellStyle name="Normal 3 4 2 2 60 5" xfId="30987"/>
    <cellStyle name="Normal 3 4 2 2 60 6" xfId="35845"/>
    <cellStyle name="Normal 3 4 2 2 60 7" xfId="40576"/>
    <cellStyle name="Normal 3 4 2 2 61" xfId="8673"/>
    <cellStyle name="Normal 3 4 2 2 61 2" xfId="15754"/>
    <cellStyle name="Normal 3 4 2 2 61 3" xfId="20871"/>
    <cellStyle name="Normal 3 4 2 2 61 4" xfId="25914"/>
    <cellStyle name="Normal 3 4 2 2 61 5" xfId="30875"/>
    <cellStyle name="Normal 3 4 2 2 61 6" xfId="35733"/>
    <cellStyle name="Normal 3 4 2 2 61 7" xfId="40464"/>
    <cellStyle name="Normal 3 4 2 2 62" xfId="8811"/>
    <cellStyle name="Normal 3 4 2 2 62 2" xfId="15892"/>
    <cellStyle name="Normal 3 4 2 2 62 3" xfId="21009"/>
    <cellStyle name="Normal 3 4 2 2 62 4" xfId="26052"/>
    <cellStyle name="Normal 3 4 2 2 62 5" xfId="31013"/>
    <cellStyle name="Normal 3 4 2 2 62 6" xfId="35871"/>
    <cellStyle name="Normal 3 4 2 2 62 7" xfId="40602"/>
    <cellStyle name="Normal 3 4 2 2 63" xfId="8926"/>
    <cellStyle name="Normal 3 4 2 2 63 2" xfId="16007"/>
    <cellStyle name="Normal 3 4 2 2 63 3" xfId="21124"/>
    <cellStyle name="Normal 3 4 2 2 63 4" xfId="26167"/>
    <cellStyle name="Normal 3 4 2 2 63 5" xfId="31128"/>
    <cellStyle name="Normal 3 4 2 2 63 6" xfId="35986"/>
    <cellStyle name="Normal 3 4 2 2 63 7" xfId="40717"/>
    <cellStyle name="Normal 3 4 2 2 64" xfId="9387"/>
    <cellStyle name="Normal 3 4 2 2 64 2" xfId="16468"/>
    <cellStyle name="Normal 3 4 2 2 64 3" xfId="21585"/>
    <cellStyle name="Normal 3 4 2 2 64 4" xfId="26628"/>
    <cellStyle name="Normal 3 4 2 2 64 5" xfId="31589"/>
    <cellStyle name="Normal 3 4 2 2 64 6" xfId="36447"/>
    <cellStyle name="Normal 3 4 2 2 64 7" xfId="41178"/>
    <cellStyle name="Normal 3 4 2 2 65" xfId="9592"/>
    <cellStyle name="Normal 3 4 2 2 65 2" xfId="16673"/>
    <cellStyle name="Normal 3 4 2 2 65 3" xfId="21790"/>
    <cellStyle name="Normal 3 4 2 2 65 4" xfId="26833"/>
    <cellStyle name="Normal 3 4 2 2 65 5" xfId="31794"/>
    <cellStyle name="Normal 3 4 2 2 65 6" xfId="36652"/>
    <cellStyle name="Normal 3 4 2 2 65 7" xfId="41383"/>
    <cellStyle name="Normal 3 4 2 2 66" xfId="9434"/>
    <cellStyle name="Normal 3 4 2 2 66 2" xfId="16515"/>
    <cellStyle name="Normal 3 4 2 2 66 3" xfId="21632"/>
    <cellStyle name="Normal 3 4 2 2 66 4" xfId="26675"/>
    <cellStyle name="Normal 3 4 2 2 66 5" xfId="31636"/>
    <cellStyle name="Normal 3 4 2 2 66 6" xfId="36494"/>
    <cellStyle name="Normal 3 4 2 2 66 7" xfId="41225"/>
    <cellStyle name="Normal 3 4 2 2 67" xfId="9234"/>
    <cellStyle name="Normal 3 4 2 2 67 2" xfId="16315"/>
    <cellStyle name="Normal 3 4 2 2 67 3" xfId="21432"/>
    <cellStyle name="Normal 3 4 2 2 67 4" xfId="26475"/>
    <cellStyle name="Normal 3 4 2 2 67 5" xfId="31436"/>
    <cellStyle name="Normal 3 4 2 2 67 6" xfId="36294"/>
    <cellStyle name="Normal 3 4 2 2 67 7" xfId="41025"/>
    <cellStyle name="Normal 3 4 2 2 68" xfId="9109"/>
    <cellStyle name="Normal 3 4 2 2 68 2" xfId="16190"/>
    <cellStyle name="Normal 3 4 2 2 68 3" xfId="21307"/>
    <cellStyle name="Normal 3 4 2 2 68 4" xfId="26350"/>
    <cellStyle name="Normal 3 4 2 2 68 5" xfId="31311"/>
    <cellStyle name="Normal 3 4 2 2 68 6" xfId="36169"/>
    <cellStyle name="Normal 3 4 2 2 68 7" xfId="40900"/>
    <cellStyle name="Normal 3 4 2 2 69" xfId="9107"/>
    <cellStyle name="Normal 3 4 2 2 69 2" xfId="16188"/>
    <cellStyle name="Normal 3 4 2 2 69 3" xfId="21305"/>
    <cellStyle name="Normal 3 4 2 2 69 4" xfId="26348"/>
    <cellStyle name="Normal 3 4 2 2 69 5" xfId="31309"/>
    <cellStyle name="Normal 3 4 2 2 69 6" xfId="36167"/>
    <cellStyle name="Normal 3 4 2 2 69 7" xfId="40898"/>
    <cellStyle name="Normal 3 4 2 2 7" xfId="4467"/>
    <cellStyle name="Normal 3 4 2 2 7 2" xfId="5858"/>
    <cellStyle name="Normal 3 4 2 2 7 3" xfId="17958"/>
    <cellStyle name="Normal 3 4 2 2 7 4" xfId="23001"/>
    <cellStyle name="Normal 3 4 2 2 7 5" xfId="27962"/>
    <cellStyle name="Normal 3 4 2 2 7 6" xfId="32820"/>
    <cellStyle name="Normal 3 4 2 2 7 7" xfId="37551"/>
    <cellStyle name="Normal 3 4 2 2 70" xfId="9101"/>
    <cellStyle name="Normal 3 4 2 2 70 2" xfId="16182"/>
    <cellStyle name="Normal 3 4 2 2 70 3" xfId="21299"/>
    <cellStyle name="Normal 3 4 2 2 70 4" xfId="26342"/>
    <cellStyle name="Normal 3 4 2 2 70 5" xfId="31303"/>
    <cellStyle name="Normal 3 4 2 2 70 6" xfId="36161"/>
    <cellStyle name="Normal 3 4 2 2 70 7" xfId="40892"/>
    <cellStyle name="Normal 3 4 2 2 71" xfId="9214"/>
    <cellStyle name="Normal 3 4 2 2 71 2" xfId="16295"/>
    <cellStyle name="Normal 3 4 2 2 71 3" xfId="21412"/>
    <cellStyle name="Normal 3 4 2 2 71 4" xfId="26455"/>
    <cellStyle name="Normal 3 4 2 2 71 5" xfId="31416"/>
    <cellStyle name="Normal 3 4 2 2 71 6" xfId="36274"/>
    <cellStyle name="Normal 3 4 2 2 71 7" xfId="41005"/>
    <cellStyle name="Normal 3 4 2 2 72" xfId="9126"/>
    <cellStyle name="Normal 3 4 2 2 72 2" xfId="16207"/>
    <cellStyle name="Normal 3 4 2 2 72 3" xfId="21324"/>
    <cellStyle name="Normal 3 4 2 2 72 4" xfId="26367"/>
    <cellStyle name="Normal 3 4 2 2 72 5" xfId="31328"/>
    <cellStyle name="Normal 3 4 2 2 72 6" xfId="36186"/>
    <cellStyle name="Normal 3 4 2 2 72 7" xfId="40917"/>
    <cellStyle name="Normal 3 4 2 2 73" xfId="9392"/>
    <cellStyle name="Normal 3 4 2 2 73 2" xfId="16473"/>
    <cellStyle name="Normal 3 4 2 2 73 3" xfId="21590"/>
    <cellStyle name="Normal 3 4 2 2 73 4" xfId="26633"/>
    <cellStyle name="Normal 3 4 2 2 73 5" xfId="31594"/>
    <cellStyle name="Normal 3 4 2 2 73 6" xfId="36452"/>
    <cellStyle name="Normal 3 4 2 2 73 7" xfId="41183"/>
    <cellStyle name="Normal 3 4 2 2 74" xfId="9366"/>
    <cellStyle name="Normal 3 4 2 2 74 2" xfId="16447"/>
    <cellStyle name="Normal 3 4 2 2 74 3" xfId="21564"/>
    <cellStyle name="Normal 3 4 2 2 74 4" xfId="26607"/>
    <cellStyle name="Normal 3 4 2 2 74 5" xfId="31568"/>
    <cellStyle name="Normal 3 4 2 2 74 6" xfId="36426"/>
    <cellStyle name="Normal 3 4 2 2 74 7" xfId="41157"/>
    <cellStyle name="Normal 3 4 2 2 75" xfId="9369"/>
    <cellStyle name="Normal 3 4 2 2 75 2" xfId="16450"/>
    <cellStyle name="Normal 3 4 2 2 75 3" xfId="21567"/>
    <cellStyle name="Normal 3 4 2 2 75 4" xfId="26610"/>
    <cellStyle name="Normal 3 4 2 2 75 5" xfId="31571"/>
    <cellStyle name="Normal 3 4 2 2 75 6" xfId="36429"/>
    <cellStyle name="Normal 3 4 2 2 75 7" xfId="41160"/>
    <cellStyle name="Normal 3 4 2 2 76" xfId="9883"/>
    <cellStyle name="Normal 3 4 2 2 76 2" xfId="16964"/>
    <cellStyle name="Normal 3 4 2 2 76 3" xfId="22081"/>
    <cellStyle name="Normal 3 4 2 2 76 4" xfId="27124"/>
    <cellStyle name="Normal 3 4 2 2 76 5" xfId="32085"/>
    <cellStyle name="Normal 3 4 2 2 76 6" xfId="36943"/>
    <cellStyle name="Normal 3 4 2 2 76 7" xfId="41674"/>
    <cellStyle name="Normal 3 4 2 2 77" xfId="9992"/>
    <cellStyle name="Normal 3 4 2 2 77 2" xfId="17073"/>
    <cellStyle name="Normal 3 4 2 2 77 3" xfId="22190"/>
    <cellStyle name="Normal 3 4 2 2 77 4" xfId="27233"/>
    <cellStyle name="Normal 3 4 2 2 77 5" xfId="32194"/>
    <cellStyle name="Normal 3 4 2 2 77 6" xfId="37052"/>
    <cellStyle name="Normal 3 4 2 2 77 7" xfId="41783"/>
    <cellStyle name="Normal 3 4 2 2 78" xfId="9918"/>
    <cellStyle name="Normal 3 4 2 2 78 2" xfId="16999"/>
    <cellStyle name="Normal 3 4 2 2 78 3" xfId="22116"/>
    <cellStyle name="Normal 3 4 2 2 78 4" xfId="27159"/>
    <cellStyle name="Normal 3 4 2 2 78 5" xfId="32120"/>
    <cellStyle name="Normal 3 4 2 2 78 6" xfId="36978"/>
    <cellStyle name="Normal 3 4 2 2 78 7" xfId="41709"/>
    <cellStyle name="Normal 3 4 2 2 79" xfId="9809"/>
    <cellStyle name="Normal 3 4 2 2 79 2" xfId="16890"/>
    <cellStyle name="Normal 3 4 2 2 79 3" xfId="22007"/>
    <cellStyle name="Normal 3 4 2 2 79 4" xfId="27050"/>
    <cellStyle name="Normal 3 4 2 2 79 5" xfId="32011"/>
    <cellStyle name="Normal 3 4 2 2 79 6" xfId="36869"/>
    <cellStyle name="Normal 3 4 2 2 79 7" xfId="41600"/>
    <cellStyle name="Normal 3 4 2 2 8" xfId="4575"/>
    <cellStyle name="Normal 3 4 2 2 8 2" xfId="5854"/>
    <cellStyle name="Normal 3 4 2 2 8 3" xfId="17954"/>
    <cellStyle name="Normal 3 4 2 2 8 4" xfId="22997"/>
    <cellStyle name="Normal 3 4 2 2 8 5" xfId="27958"/>
    <cellStyle name="Normal 3 4 2 2 8 6" xfId="32816"/>
    <cellStyle name="Normal 3 4 2 2 8 7" xfId="37547"/>
    <cellStyle name="Normal 3 4 2 2 80" xfId="9745"/>
    <cellStyle name="Normal 3 4 2 2 80 2" xfId="16826"/>
    <cellStyle name="Normal 3 4 2 2 80 3" xfId="21943"/>
    <cellStyle name="Normal 3 4 2 2 80 4" xfId="26986"/>
    <cellStyle name="Normal 3 4 2 2 80 5" xfId="31947"/>
    <cellStyle name="Normal 3 4 2 2 80 6" xfId="36805"/>
    <cellStyle name="Normal 3 4 2 2 80 7" xfId="41536"/>
    <cellStyle name="Normal 3 4 2 2 81" xfId="9743"/>
    <cellStyle name="Normal 3 4 2 2 81 2" xfId="16824"/>
    <cellStyle name="Normal 3 4 2 2 81 3" xfId="21941"/>
    <cellStyle name="Normal 3 4 2 2 81 4" xfId="26984"/>
    <cellStyle name="Normal 3 4 2 2 81 5" xfId="31945"/>
    <cellStyle name="Normal 3 4 2 2 81 6" xfId="36803"/>
    <cellStyle name="Normal 3 4 2 2 81 7" xfId="41534"/>
    <cellStyle name="Normal 3 4 2 2 82" xfId="10213"/>
    <cellStyle name="Normal 3 4 2 2 82 2" xfId="17294"/>
    <cellStyle name="Normal 3 4 2 2 82 3" xfId="22411"/>
    <cellStyle name="Normal 3 4 2 2 82 4" xfId="27454"/>
    <cellStyle name="Normal 3 4 2 2 82 5" xfId="32415"/>
    <cellStyle name="Normal 3 4 2 2 82 6" xfId="37273"/>
    <cellStyle name="Normal 3 4 2 2 82 7" xfId="42004"/>
    <cellStyle name="Normal 3 4 2 2 83" xfId="10322"/>
    <cellStyle name="Normal 3 4 2 2 83 2" xfId="17403"/>
    <cellStyle name="Normal 3 4 2 2 83 3" xfId="22520"/>
    <cellStyle name="Normal 3 4 2 2 83 4" xfId="27563"/>
    <cellStyle name="Normal 3 4 2 2 83 5" xfId="32524"/>
    <cellStyle name="Normal 3 4 2 2 83 6" xfId="37382"/>
    <cellStyle name="Normal 3 4 2 2 83 7" xfId="42113"/>
    <cellStyle name="Normal 3 4 2 2 84" xfId="10248"/>
    <cellStyle name="Normal 3 4 2 2 84 2" xfId="17329"/>
    <cellStyle name="Normal 3 4 2 2 84 3" xfId="22446"/>
    <cellStyle name="Normal 3 4 2 2 84 4" xfId="27489"/>
    <cellStyle name="Normal 3 4 2 2 84 5" xfId="32450"/>
    <cellStyle name="Normal 3 4 2 2 84 6" xfId="37308"/>
    <cellStyle name="Normal 3 4 2 2 84 7" xfId="42039"/>
    <cellStyle name="Normal 3 4 2 2 85" xfId="10139"/>
    <cellStyle name="Normal 3 4 2 2 85 2" xfId="17220"/>
    <cellStyle name="Normal 3 4 2 2 85 3" xfId="22337"/>
    <cellStyle name="Normal 3 4 2 2 85 4" xfId="27380"/>
    <cellStyle name="Normal 3 4 2 2 85 5" xfId="32341"/>
    <cellStyle name="Normal 3 4 2 2 85 6" xfId="37199"/>
    <cellStyle name="Normal 3 4 2 2 85 7" xfId="41930"/>
    <cellStyle name="Normal 3 4 2 2 86" xfId="10075"/>
    <cellStyle name="Normal 3 4 2 2 86 2" xfId="17156"/>
    <cellStyle name="Normal 3 4 2 2 86 3" xfId="22273"/>
    <cellStyle name="Normal 3 4 2 2 86 4" xfId="27316"/>
    <cellStyle name="Normal 3 4 2 2 86 5" xfId="32277"/>
    <cellStyle name="Normal 3 4 2 2 86 6" xfId="37135"/>
    <cellStyle name="Normal 3 4 2 2 86 7" xfId="41866"/>
    <cellStyle name="Normal 3 4 2 2 87" xfId="10073"/>
    <cellStyle name="Normal 3 4 2 2 87 2" xfId="17154"/>
    <cellStyle name="Normal 3 4 2 2 87 3" xfId="22271"/>
    <cellStyle name="Normal 3 4 2 2 87 4" xfId="27314"/>
    <cellStyle name="Normal 3 4 2 2 87 5" xfId="32275"/>
    <cellStyle name="Normal 3 4 2 2 87 6" xfId="37133"/>
    <cellStyle name="Normal 3 4 2 2 87 7" xfId="41864"/>
    <cellStyle name="Normal 3 4 2 2 88" xfId="13028"/>
    <cellStyle name="Normal 3 4 2 2 89" xfId="13660"/>
    <cellStyle name="Normal 3 4 2 2 9" xfId="4632"/>
    <cellStyle name="Normal 3 4 2 2 9 2" xfId="5846"/>
    <cellStyle name="Normal 3 4 2 2 9 3" xfId="17946"/>
    <cellStyle name="Normal 3 4 2 2 9 4" xfId="22989"/>
    <cellStyle name="Normal 3 4 2 2 9 5" xfId="27950"/>
    <cellStyle name="Normal 3 4 2 2 9 6" xfId="32808"/>
    <cellStyle name="Normal 3 4 2 2 9 7" xfId="37539"/>
    <cellStyle name="Normal 3 4 2 2 90" xfId="11399"/>
    <cellStyle name="Normal 3 4 2 2 91" xfId="12776"/>
    <cellStyle name="Normal 3 4 2 2 92" xfId="13994"/>
    <cellStyle name="Normal 3 4 2 2 93" xfId="17715"/>
    <cellStyle name="Normal 3 4 2 3" xfId="2762"/>
    <cellStyle name="Normal 3 4 2 3 2" xfId="13237"/>
    <cellStyle name="Normal 3 4 2 3 3" xfId="11291"/>
    <cellStyle name="Normal 3 4 2 3 4" xfId="12047"/>
    <cellStyle name="Normal 3 4 2 3 5" xfId="12758"/>
    <cellStyle name="Normal 3 4 2 3 6" xfId="12381"/>
    <cellStyle name="Normal 3 4 2 3 7" xfId="13975"/>
    <cellStyle name="Normal 3 4 2 4" xfId="12426"/>
    <cellStyle name="Normal 3 4 2 5" xfId="11641"/>
    <cellStyle name="Normal 3 4 2 6" xfId="11728"/>
    <cellStyle name="Normal 3 4 2 7" xfId="13695"/>
    <cellStyle name="Normal 3 4 2 8" xfId="13632"/>
    <cellStyle name="Normal 3 4 2 9" xfId="13122"/>
    <cellStyle name="Normal 3 4 20" xfId="4965"/>
    <cellStyle name="Normal 3 4 20 2" xfId="6708"/>
    <cellStyle name="Normal 3 4 20 3" xfId="18829"/>
    <cellStyle name="Normal 3 4 20 4" xfId="23872"/>
    <cellStyle name="Normal 3 4 20 5" xfId="28833"/>
    <cellStyle name="Normal 3 4 20 6" xfId="33691"/>
    <cellStyle name="Normal 3 4 20 7" xfId="38422"/>
    <cellStyle name="Normal 3 4 21" xfId="5309"/>
    <cellStyle name="Normal 3 4 21 2" xfId="6725"/>
    <cellStyle name="Normal 3 4 21 3" xfId="18846"/>
    <cellStyle name="Normal 3 4 21 4" xfId="23889"/>
    <cellStyle name="Normal 3 4 21 5" xfId="28850"/>
    <cellStyle name="Normal 3 4 21 6" xfId="33708"/>
    <cellStyle name="Normal 3 4 21 7" xfId="38439"/>
    <cellStyle name="Normal 3 4 22" xfId="5350"/>
    <cellStyle name="Normal 3 4 22 2" xfId="6756"/>
    <cellStyle name="Normal 3 4 22 3" xfId="18877"/>
    <cellStyle name="Normal 3 4 22 4" xfId="23920"/>
    <cellStyle name="Normal 3 4 22 5" xfId="28881"/>
    <cellStyle name="Normal 3 4 22 6" xfId="33739"/>
    <cellStyle name="Normal 3 4 22 7" xfId="38470"/>
    <cellStyle name="Normal 3 4 23" xfId="5405"/>
    <cellStyle name="Normal 3 4 23 2" xfId="6718"/>
    <cellStyle name="Normal 3 4 23 3" xfId="18839"/>
    <cellStyle name="Normal 3 4 23 4" xfId="23882"/>
    <cellStyle name="Normal 3 4 23 5" xfId="28843"/>
    <cellStyle name="Normal 3 4 23 6" xfId="33701"/>
    <cellStyle name="Normal 3 4 23 7" xfId="38432"/>
    <cellStyle name="Normal 3 4 24" xfId="5327"/>
    <cellStyle name="Normal 3 4 24 2" xfId="7022"/>
    <cellStyle name="Normal 3 4 24 3" xfId="19161"/>
    <cellStyle name="Normal 3 4 24 4" xfId="24204"/>
    <cellStyle name="Normal 3 4 24 5" xfId="29165"/>
    <cellStyle name="Normal 3 4 24 6" xfId="34023"/>
    <cellStyle name="Normal 3 4 24 7" xfId="38754"/>
    <cellStyle name="Normal 3 4 25" xfId="5459"/>
    <cellStyle name="Normal 3 4 25 2" xfId="7070"/>
    <cellStyle name="Normal 3 4 25 3" xfId="19214"/>
    <cellStyle name="Normal 3 4 25 4" xfId="24257"/>
    <cellStyle name="Normal 3 4 25 5" xfId="29218"/>
    <cellStyle name="Normal 3 4 25 6" xfId="34076"/>
    <cellStyle name="Normal 3 4 25 7" xfId="38807"/>
    <cellStyle name="Normal 3 4 26" xfId="5468"/>
    <cellStyle name="Normal 3 4 26 2" xfId="7153"/>
    <cellStyle name="Normal 3 4 26 3" xfId="19305"/>
    <cellStyle name="Normal 3 4 26 4" xfId="24348"/>
    <cellStyle name="Normal 3 4 26 5" xfId="29309"/>
    <cellStyle name="Normal 3 4 26 6" xfId="34167"/>
    <cellStyle name="Normal 3 4 26 7" xfId="38898"/>
    <cellStyle name="Normal 3 4 27" xfId="5409"/>
    <cellStyle name="Normal 3 4 27 2" xfId="7043"/>
    <cellStyle name="Normal 3 4 27 3" xfId="19184"/>
    <cellStyle name="Normal 3 4 27 4" xfId="24227"/>
    <cellStyle name="Normal 3 4 27 5" xfId="29188"/>
    <cellStyle name="Normal 3 4 27 6" xfId="34046"/>
    <cellStyle name="Normal 3 4 27 7" xfId="38777"/>
    <cellStyle name="Normal 3 4 28" xfId="5497"/>
    <cellStyle name="Normal 3 4 28 2" xfId="7209"/>
    <cellStyle name="Normal 3 4 28 3" xfId="19366"/>
    <cellStyle name="Normal 3 4 28 4" xfId="24409"/>
    <cellStyle name="Normal 3 4 28 5" xfId="29370"/>
    <cellStyle name="Normal 3 4 28 6" xfId="34228"/>
    <cellStyle name="Normal 3 4 28 7" xfId="38959"/>
    <cellStyle name="Normal 3 4 29" xfId="5241"/>
    <cellStyle name="Normal 3 4 29 2" xfId="7221"/>
    <cellStyle name="Normal 3 4 29 3" xfId="19379"/>
    <cellStyle name="Normal 3 4 29 4" xfId="24422"/>
    <cellStyle name="Normal 3 4 29 5" xfId="29383"/>
    <cellStyle name="Normal 3 4 29 6" xfId="34241"/>
    <cellStyle name="Normal 3 4 29 7" xfId="38972"/>
    <cellStyle name="Normal 3 4 3" xfId="2442"/>
    <cellStyle name="Normal 3 4 3 2" xfId="2509"/>
    <cellStyle name="Normal 3 4 3 2 10" xfId="4704"/>
    <cellStyle name="Normal 3 4 3 2 10 2" xfId="5869"/>
    <cellStyle name="Normal 3 4 3 2 10 3" xfId="17969"/>
    <cellStyle name="Normal 3 4 3 2 10 4" xfId="23012"/>
    <cellStyle name="Normal 3 4 3 2 10 5" xfId="27973"/>
    <cellStyle name="Normal 3 4 3 2 10 6" xfId="32831"/>
    <cellStyle name="Normal 3 4 3 2 10 7" xfId="37562"/>
    <cellStyle name="Normal 3 4 3 2 11" xfId="4861"/>
    <cellStyle name="Normal 3 4 3 2 11 2" xfId="6029"/>
    <cellStyle name="Normal 3 4 3 2 11 3" xfId="18133"/>
    <cellStyle name="Normal 3 4 3 2 11 4" xfId="23176"/>
    <cellStyle name="Normal 3 4 3 2 11 5" xfId="28137"/>
    <cellStyle name="Normal 3 4 3 2 11 6" xfId="32995"/>
    <cellStyle name="Normal 3 4 3 2 11 7" xfId="37726"/>
    <cellStyle name="Normal 3 4 3 2 12" xfId="4918"/>
    <cellStyle name="Normal 3 4 3 2 12 2" xfId="5960"/>
    <cellStyle name="Normal 3 4 3 2 12 3" xfId="18062"/>
    <cellStyle name="Normal 3 4 3 2 12 4" xfId="23105"/>
    <cellStyle name="Normal 3 4 3 2 12 5" xfId="28066"/>
    <cellStyle name="Normal 3 4 3 2 12 6" xfId="32924"/>
    <cellStyle name="Normal 3 4 3 2 12 7" xfId="37655"/>
    <cellStyle name="Normal 3 4 3 2 13" xfId="4796"/>
    <cellStyle name="Normal 3 4 3 2 13 2" xfId="6049"/>
    <cellStyle name="Normal 3 4 3 2 13 3" xfId="18153"/>
    <cellStyle name="Normal 3 4 3 2 13 4" xfId="23196"/>
    <cellStyle name="Normal 3 4 3 2 13 5" xfId="28157"/>
    <cellStyle name="Normal 3 4 3 2 13 6" xfId="33015"/>
    <cellStyle name="Normal 3 4 3 2 13 7" xfId="37746"/>
    <cellStyle name="Normal 3 4 3 2 14" xfId="4871"/>
    <cellStyle name="Normal 3 4 3 2 14 2" xfId="6143"/>
    <cellStyle name="Normal 3 4 3 2 14 3" xfId="18247"/>
    <cellStyle name="Normal 3 4 3 2 14 4" xfId="23290"/>
    <cellStyle name="Normal 3 4 3 2 14 5" xfId="28251"/>
    <cellStyle name="Normal 3 4 3 2 14 6" xfId="33109"/>
    <cellStyle name="Normal 3 4 3 2 14 7" xfId="37840"/>
    <cellStyle name="Normal 3 4 3 2 15" xfId="5086"/>
    <cellStyle name="Normal 3 4 3 2 15 2" xfId="6281"/>
    <cellStyle name="Normal 3 4 3 2 15 3" xfId="18386"/>
    <cellStyle name="Normal 3 4 3 2 15 4" xfId="23429"/>
    <cellStyle name="Normal 3 4 3 2 15 5" xfId="28390"/>
    <cellStyle name="Normal 3 4 3 2 15 6" xfId="33248"/>
    <cellStyle name="Normal 3 4 3 2 15 7" xfId="37979"/>
    <cellStyle name="Normal 3 4 3 2 16" xfId="5135"/>
    <cellStyle name="Normal 3 4 3 2 16 2" xfId="6370"/>
    <cellStyle name="Normal 3 4 3 2 16 3" xfId="18479"/>
    <cellStyle name="Normal 3 4 3 2 16 4" xfId="23522"/>
    <cellStyle name="Normal 3 4 3 2 16 5" xfId="28483"/>
    <cellStyle name="Normal 3 4 3 2 16 6" xfId="33341"/>
    <cellStyle name="Normal 3 4 3 2 16 7" xfId="38072"/>
    <cellStyle name="Normal 3 4 3 2 17" xfId="5063"/>
    <cellStyle name="Normal 3 4 3 2 17 2" xfId="6066"/>
    <cellStyle name="Normal 3 4 3 2 17 3" xfId="18170"/>
    <cellStyle name="Normal 3 4 3 2 17 4" xfId="23213"/>
    <cellStyle name="Normal 3 4 3 2 17 5" xfId="28174"/>
    <cellStyle name="Normal 3 4 3 2 17 6" xfId="33032"/>
    <cellStyle name="Normal 3 4 3 2 17 7" xfId="37763"/>
    <cellStyle name="Normal 3 4 3 2 18" xfId="5013"/>
    <cellStyle name="Normal 3 4 3 2 18 2" xfId="6780"/>
    <cellStyle name="Normal 3 4 3 2 18 3" xfId="18901"/>
    <cellStyle name="Normal 3 4 3 2 18 4" xfId="23944"/>
    <cellStyle name="Normal 3 4 3 2 18 5" xfId="28905"/>
    <cellStyle name="Normal 3 4 3 2 18 6" xfId="33763"/>
    <cellStyle name="Normal 3 4 3 2 18 7" xfId="38494"/>
    <cellStyle name="Normal 3 4 3 2 19" xfId="5440"/>
    <cellStyle name="Normal 3 4 3 2 19 2" xfId="6835"/>
    <cellStyle name="Normal 3 4 3 2 19 3" xfId="18956"/>
    <cellStyle name="Normal 3 4 3 2 19 4" xfId="23999"/>
    <cellStyle name="Normal 3 4 3 2 19 5" xfId="28960"/>
    <cellStyle name="Normal 3 4 3 2 19 6" xfId="33818"/>
    <cellStyle name="Normal 3 4 3 2 19 7" xfId="38549"/>
    <cellStyle name="Normal 3 4 3 2 2" xfId="4305"/>
    <cellStyle name="Normal 3 4 3 2 2 2" xfId="6219"/>
    <cellStyle name="Normal 3 4 3 2 2 3" xfId="18323"/>
    <cellStyle name="Normal 3 4 3 2 2 4" xfId="23366"/>
    <cellStyle name="Normal 3 4 3 2 2 5" xfId="28327"/>
    <cellStyle name="Normal 3 4 3 2 2 6" xfId="33185"/>
    <cellStyle name="Normal 3 4 3 2 2 7" xfId="37916"/>
    <cellStyle name="Normal 3 4 3 2 20" xfId="5576"/>
    <cellStyle name="Normal 3 4 3 2 20 2" xfId="6786"/>
    <cellStyle name="Normal 3 4 3 2 20 3" xfId="18907"/>
    <cellStyle name="Normal 3 4 3 2 20 4" xfId="23950"/>
    <cellStyle name="Normal 3 4 3 2 20 5" xfId="28911"/>
    <cellStyle name="Normal 3 4 3 2 20 6" xfId="33769"/>
    <cellStyle name="Normal 3 4 3 2 20 7" xfId="38500"/>
    <cellStyle name="Normal 3 4 3 2 21" xfId="5315"/>
    <cellStyle name="Normal 3 4 3 2 21 2" xfId="6815"/>
    <cellStyle name="Normal 3 4 3 2 21 3" xfId="18936"/>
    <cellStyle name="Normal 3 4 3 2 21 4" xfId="23979"/>
    <cellStyle name="Normal 3 4 3 2 21 5" xfId="28940"/>
    <cellStyle name="Normal 3 4 3 2 21 6" xfId="33798"/>
    <cellStyle name="Normal 3 4 3 2 21 7" xfId="38529"/>
    <cellStyle name="Normal 3 4 3 2 22" xfId="5457"/>
    <cellStyle name="Normal 3 4 3 2 22 2" xfId="7184"/>
    <cellStyle name="Normal 3 4 3 2 22 3" xfId="19339"/>
    <cellStyle name="Normal 3 4 3 2 22 4" xfId="24382"/>
    <cellStyle name="Normal 3 4 3 2 22 5" xfId="29343"/>
    <cellStyle name="Normal 3 4 3 2 22 6" xfId="34201"/>
    <cellStyle name="Normal 3 4 3 2 22 7" xfId="38932"/>
    <cellStyle name="Normal 3 4 3 2 23" xfId="5464"/>
    <cellStyle name="Normal 3 4 3 2 23 2" xfId="7338"/>
    <cellStyle name="Normal 3 4 3 2 23 3" xfId="19510"/>
    <cellStyle name="Normal 3 4 3 2 23 4" xfId="24553"/>
    <cellStyle name="Normal 3 4 3 2 23 5" xfId="29514"/>
    <cellStyle name="Normal 3 4 3 2 23 6" xfId="34372"/>
    <cellStyle name="Normal 3 4 3 2 23 7" xfId="39103"/>
    <cellStyle name="Normal 3 4 3 2 24" xfId="5329"/>
    <cellStyle name="Normal 3 4 3 2 24 2" xfId="7193"/>
    <cellStyle name="Normal 3 4 3 2 24 3" xfId="19348"/>
    <cellStyle name="Normal 3 4 3 2 24 4" xfId="24391"/>
    <cellStyle name="Normal 3 4 3 2 24 5" xfId="29352"/>
    <cellStyle name="Normal 3 4 3 2 24 6" xfId="34210"/>
    <cellStyle name="Normal 3 4 3 2 24 7" xfId="38941"/>
    <cellStyle name="Normal 3 4 3 2 25" xfId="5407"/>
    <cellStyle name="Normal 3 4 3 2 25 2" xfId="7274"/>
    <cellStyle name="Normal 3 4 3 2 25 3" xfId="19440"/>
    <cellStyle name="Normal 3 4 3 2 25 4" xfId="24483"/>
    <cellStyle name="Normal 3 4 3 2 25 5" xfId="29444"/>
    <cellStyle name="Normal 3 4 3 2 25 6" xfId="34302"/>
    <cellStyle name="Normal 3 4 3 2 25 7" xfId="39033"/>
    <cellStyle name="Normal 3 4 3 2 26" xfId="5590"/>
    <cellStyle name="Normal 3 4 3 2 26 2" xfId="7287"/>
    <cellStyle name="Normal 3 4 3 2 26 3" xfId="19454"/>
    <cellStyle name="Normal 3 4 3 2 26 4" xfId="24497"/>
    <cellStyle name="Normal 3 4 3 2 26 5" xfId="29458"/>
    <cellStyle name="Normal 3 4 3 2 26 6" xfId="34316"/>
    <cellStyle name="Normal 3 4 3 2 26 7" xfId="39047"/>
    <cellStyle name="Normal 3 4 3 2 27" xfId="5289"/>
    <cellStyle name="Normal 3 4 3 2 27 2" xfId="7318"/>
    <cellStyle name="Normal 3 4 3 2 27 3" xfId="19489"/>
    <cellStyle name="Normal 3 4 3 2 27 4" xfId="24532"/>
    <cellStyle name="Normal 3 4 3 2 27 5" xfId="29493"/>
    <cellStyle name="Normal 3 4 3 2 27 6" xfId="34351"/>
    <cellStyle name="Normal 3 4 3 2 27 7" xfId="39082"/>
    <cellStyle name="Normal 3 4 3 2 28" xfId="5790"/>
    <cellStyle name="Normal 3 4 3 2 28 2" xfId="14413"/>
    <cellStyle name="Normal 3 4 3 2 28 3" xfId="19413"/>
    <cellStyle name="Normal 3 4 3 2 28 4" xfId="24456"/>
    <cellStyle name="Normal 3 4 3 2 28 5" xfId="29417"/>
    <cellStyle name="Normal 3 4 3 2 28 6" xfId="34275"/>
    <cellStyle name="Normal 3 4 3 2 28 7" xfId="39006"/>
    <cellStyle name="Normal 3 4 3 2 29" xfId="7259"/>
    <cellStyle name="Normal 3 4 3 2 29 2" xfId="14417"/>
    <cellStyle name="Normal 3 4 3 2 29 3" xfId="19423"/>
    <cellStyle name="Normal 3 4 3 2 29 4" xfId="24466"/>
    <cellStyle name="Normal 3 4 3 2 29 5" xfId="29427"/>
    <cellStyle name="Normal 3 4 3 2 29 6" xfId="34285"/>
    <cellStyle name="Normal 3 4 3 2 29 7" xfId="39016"/>
    <cellStyle name="Normal 3 4 3 2 3" xfId="4340"/>
    <cellStyle name="Normal 3 4 3 2 3 2" xfId="6449"/>
    <cellStyle name="Normal 3 4 3 2 3 3" xfId="18559"/>
    <cellStyle name="Normal 3 4 3 2 3 4" xfId="23602"/>
    <cellStyle name="Normal 3 4 3 2 3 5" xfId="28563"/>
    <cellStyle name="Normal 3 4 3 2 3 6" xfId="33421"/>
    <cellStyle name="Normal 3 4 3 2 3 7" xfId="38152"/>
    <cellStyle name="Normal 3 4 3 2 30" xfId="6929"/>
    <cellStyle name="Normal 3 4 3 2 30 2" xfId="14246"/>
    <cellStyle name="Normal 3 4 3 2 30 3" xfId="19057"/>
    <cellStyle name="Normal 3 4 3 2 30 4" xfId="24100"/>
    <cellStyle name="Normal 3 4 3 2 30 5" xfId="29061"/>
    <cellStyle name="Normal 3 4 3 2 30 6" xfId="33919"/>
    <cellStyle name="Normal 3 4 3 2 30 7" xfId="38650"/>
    <cellStyle name="Normal 3 4 3 2 31" xfId="7045"/>
    <cellStyle name="Normal 3 4 3 2 31 2" xfId="14313"/>
    <cellStyle name="Normal 3 4 3 2 31 3" xfId="19186"/>
    <cellStyle name="Normal 3 4 3 2 31 4" xfId="24229"/>
    <cellStyle name="Normal 3 4 3 2 31 5" xfId="29190"/>
    <cellStyle name="Normal 3 4 3 2 31 6" xfId="34048"/>
    <cellStyle name="Normal 3 4 3 2 31 7" xfId="38779"/>
    <cellStyle name="Normal 3 4 3 2 32" xfId="6993"/>
    <cellStyle name="Normal 3 4 3 2 32 2" xfId="14289"/>
    <cellStyle name="Normal 3 4 3 2 32 3" xfId="19129"/>
    <cellStyle name="Normal 3 4 3 2 32 4" xfId="24172"/>
    <cellStyle name="Normal 3 4 3 2 32 5" xfId="29133"/>
    <cellStyle name="Normal 3 4 3 2 32 6" xfId="33991"/>
    <cellStyle name="Normal 3 4 3 2 32 7" xfId="38722"/>
    <cellStyle name="Normal 3 4 3 2 33" xfId="7057"/>
    <cellStyle name="Normal 3 4 3 2 33 2" xfId="14322"/>
    <cellStyle name="Normal 3 4 3 2 33 3" xfId="19201"/>
    <cellStyle name="Normal 3 4 3 2 33 4" xfId="24244"/>
    <cellStyle name="Normal 3 4 3 2 33 5" xfId="29205"/>
    <cellStyle name="Normal 3 4 3 2 33 6" xfId="34063"/>
    <cellStyle name="Normal 3 4 3 2 33 7" xfId="38794"/>
    <cellStyle name="Normal 3 4 3 2 34" xfId="7845"/>
    <cellStyle name="Normal 3 4 3 2 34 2" xfId="14925"/>
    <cellStyle name="Normal 3 4 3 2 34 3" xfId="20042"/>
    <cellStyle name="Normal 3 4 3 2 34 4" xfId="25085"/>
    <cellStyle name="Normal 3 4 3 2 34 5" xfId="30046"/>
    <cellStyle name="Normal 3 4 3 2 34 6" xfId="34904"/>
    <cellStyle name="Normal 3 4 3 2 34 7" xfId="39635"/>
    <cellStyle name="Normal 3 4 3 2 35" xfId="8053"/>
    <cellStyle name="Normal 3 4 3 2 35 2" xfId="15133"/>
    <cellStyle name="Normal 3 4 3 2 35 3" xfId="20250"/>
    <cellStyle name="Normal 3 4 3 2 35 4" xfId="25293"/>
    <cellStyle name="Normal 3 4 3 2 35 5" xfId="30254"/>
    <cellStyle name="Normal 3 4 3 2 35 6" xfId="35112"/>
    <cellStyle name="Normal 3 4 3 2 35 7" xfId="39843"/>
    <cellStyle name="Normal 3 4 3 2 36" xfId="7854"/>
    <cellStyle name="Normal 3 4 3 2 36 2" xfId="14934"/>
    <cellStyle name="Normal 3 4 3 2 36 3" xfId="20051"/>
    <cellStyle name="Normal 3 4 3 2 36 4" xfId="25094"/>
    <cellStyle name="Normal 3 4 3 2 36 5" xfId="30055"/>
    <cellStyle name="Normal 3 4 3 2 36 6" xfId="34913"/>
    <cellStyle name="Normal 3 4 3 2 36 7" xfId="39644"/>
    <cellStyle name="Normal 3 4 3 2 37" xfId="7965"/>
    <cellStyle name="Normal 3 4 3 2 37 2" xfId="15045"/>
    <cellStyle name="Normal 3 4 3 2 37 3" xfId="20162"/>
    <cellStyle name="Normal 3 4 3 2 37 4" xfId="25205"/>
    <cellStyle name="Normal 3 4 3 2 37 5" xfId="30166"/>
    <cellStyle name="Normal 3 4 3 2 37 6" xfId="35024"/>
    <cellStyle name="Normal 3 4 3 2 37 7" xfId="39755"/>
    <cellStyle name="Normal 3 4 3 2 38" xfId="7985"/>
    <cellStyle name="Normal 3 4 3 2 38 2" xfId="15065"/>
    <cellStyle name="Normal 3 4 3 2 38 3" xfId="20182"/>
    <cellStyle name="Normal 3 4 3 2 38 4" xfId="25225"/>
    <cellStyle name="Normal 3 4 3 2 38 5" xfId="30186"/>
    <cellStyle name="Normal 3 4 3 2 38 6" xfId="35044"/>
    <cellStyle name="Normal 3 4 3 2 38 7" xfId="39775"/>
    <cellStyle name="Normal 3 4 3 2 39" xfId="8028"/>
    <cellStyle name="Normal 3 4 3 2 39 2" xfId="15108"/>
    <cellStyle name="Normal 3 4 3 2 39 3" xfId="20225"/>
    <cellStyle name="Normal 3 4 3 2 39 4" xfId="25268"/>
    <cellStyle name="Normal 3 4 3 2 39 5" xfId="30229"/>
    <cellStyle name="Normal 3 4 3 2 39 6" xfId="35087"/>
    <cellStyle name="Normal 3 4 3 2 39 7" xfId="39818"/>
    <cellStyle name="Normal 3 4 3 2 4" xfId="4223"/>
    <cellStyle name="Normal 3 4 3 2 4 2" xfId="6228"/>
    <cellStyle name="Normal 3 4 3 2 4 3" xfId="18332"/>
    <cellStyle name="Normal 3 4 3 2 4 4" xfId="23375"/>
    <cellStyle name="Normal 3 4 3 2 4 5" xfId="28336"/>
    <cellStyle name="Normal 3 4 3 2 4 6" xfId="33194"/>
    <cellStyle name="Normal 3 4 3 2 4 7" xfId="37925"/>
    <cellStyle name="Normal 3 4 3 2 40" xfId="7932"/>
    <cellStyle name="Normal 3 4 3 2 40 2" xfId="15012"/>
    <cellStyle name="Normal 3 4 3 2 40 3" xfId="20129"/>
    <cellStyle name="Normal 3 4 3 2 40 4" xfId="25172"/>
    <cellStyle name="Normal 3 4 3 2 40 5" xfId="30133"/>
    <cellStyle name="Normal 3 4 3 2 40 6" xfId="34991"/>
    <cellStyle name="Normal 3 4 3 2 40 7" xfId="39722"/>
    <cellStyle name="Normal 3 4 3 2 41" xfId="7944"/>
    <cellStyle name="Normal 3 4 3 2 41 2" xfId="15024"/>
    <cellStyle name="Normal 3 4 3 2 41 3" xfId="20141"/>
    <cellStyle name="Normal 3 4 3 2 41 4" xfId="25184"/>
    <cellStyle name="Normal 3 4 3 2 41 5" xfId="30145"/>
    <cellStyle name="Normal 3 4 3 2 41 6" xfId="35003"/>
    <cellStyle name="Normal 3 4 3 2 41 7" xfId="39734"/>
    <cellStyle name="Normal 3 4 3 2 42" xfId="7529"/>
    <cellStyle name="Normal 3 4 3 2 42 2" xfId="14607"/>
    <cellStyle name="Normal 3 4 3 2 42 3" xfId="19724"/>
    <cellStyle name="Normal 3 4 3 2 42 4" xfId="24767"/>
    <cellStyle name="Normal 3 4 3 2 42 5" xfId="29728"/>
    <cellStyle name="Normal 3 4 3 2 42 6" xfId="34586"/>
    <cellStyle name="Normal 3 4 3 2 42 7" xfId="39317"/>
    <cellStyle name="Normal 3 4 3 2 43" xfId="7676"/>
    <cellStyle name="Normal 3 4 3 2 43 2" xfId="14756"/>
    <cellStyle name="Normal 3 4 3 2 43 3" xfId="19873"/>
    <cellStyle name="Normal 3 4 3 2 43 4" xfId="24916"/>
    <cellStyle name="Normal 3 4 3 2 43 5" xfId="29877"/>
    <cellStyle name="Normal 3 4 3 2 43 6" xfId="34735"/>
    <cellStyle name="Normal 3 4 3 2 43 7" xfId="39466"/>
    <cellStyle name="Normal 3 4 3 2 44" xfId="7614"/>
    <cellStyle name="Normal 3 4 3 2 44 2" xfId="14694"/>
    <cellStyle name="Normal 3 4 3 2 44 3" xfId="19811"/>
    <cellStyle name="Normal 3 4 3 2 44 4" xfId="24854"/>
    <cellStyle name="Normal 3 4 3 2 44 5" xfId="29815"/>
    <cellStyle name="Normal 3 4 3 2 44 6" xfId="34673"/>
    <cellStyle name="Normal 3 4 3 2 44 7" xfId="39404"/>
    <cellStyle name="Normal 3 4 3 2 45" xfId="7693"/>
    <cellStyle name="Normal 3 4 3 2 45 2" xfId="14773"/>
    <cellStyle name="Normal 3 4 3 2 45 3" xfId="19890"/>
    <cellStyle name="Normal 3 4 3 2 45 4" xfId="24933"/>
    <cellStyle name="Normal 3 4 3 2 45 5" xfId="29894"/>
    <cellStyle name="Normal 3 4 3 2 45 6" xfId="34752"/>
    <cellStyle name="Normal 3 4 3 2 45 7" xfId="39483"/>
    <cellStyle name="Normal 3 4 3 2 46" xfId="7777"/>
    <cellStyle name="Normal 3 4 3 2 46 2" xfId="14857"/>
    <cellStyle name="Normal 3 4 3 2 46 3" xfId="19974"/>
    <cellStyle name="Normal 3 4 3 2 46 4" xfId="25017"/>
    <cellStyle name="Normal 3 4 3 2 46 5" xfId="29978"/>
    <cellStyle name="Normal 3 4 3 2 46 6" xfId="34836"/>
    <cellStyle name="Normal 3 4 3 2 46 7" xfId="39567"/>
    <cellStyle name="Normal 3 4 3 2 47" xfId="7902"/>
    <cellStyle name="Normal 3 4 3 2 47 2" xfId="14982"/>
    <cellStyle name="Normal 3 4 3 2 47 3" xfId="20099"/>
    <cellStyle name="Normal 3 4 3 2 47 4" xfId="25142"/>
    <cellStyle name="Normal 3 4 3 2 47 5" xfId="30103"/>
    <cellStyle name="Normal 3 4 3 2 47 6" xfId="34961"/>
    <cellStyle name="Normal 3 4 3 2 47 7" xfId="39692"/>
    <cellStyle name="Normal 3 4 3 2 48" xfId="8639"/>
    <cellStyle name="Normal 3 4 3 2 48 2" xfId="15720"/>
    <cellStyle name="Normal 3 4 3 2 48 3" xfId="20837"/>
    <cellStyle name="Normal 3 4 3 2 48 4" xfId="25880"/>
    <cellStyle name="Normal 3 4 3 2 48 5" xfId="30841"/>
    <cellStyle name="Normal 3 4 3 2 48 6" xfId="35699"/>
    <cellStyle name="Normal 3 4 3 2 48 7" xfId="40430"/>
    <cellStyle name="Normal 3 4 3 2 49" xfId="8853"/>
    <cellStyle name="Normal 3 4 3 2 49 2" xfId="15934"/>
    <cellStyle name="Normal 3 4 3 2 49 3" xfId="21051"/>
    <cellStyle name="Normal 3 4 3 2 49 4" xfId="26094"/>
    <cellStyle name="Normal 3 4 3 2 49 5" xfId="31055"/>
    <cellStyle name="Normal 3 4 3 2 49 6" xfId="35913"/>
    <cellStyle name="Normal 3 4 3 2 49 7" xfId="40644"/>
    <cellStyle name="Normal 3 4 3 2 5" xfId="4422"/>
    <cellStyle name="Normal 3 4 3 2 5 2" xfId="6355"/>
    <cellStyle name="Normal 3 4 3 2 5 3" xfId="18463"/>
    <cellStyle name="Normal 3 4 3 2 5 4" xfId="23506"/>
    <cellStyle name="Normal 3 4 3 2 5 5" xfId="28467"/>
    <cellStyle name="Normal 3 4 3 2 5 6" xfId="33325"/>
    <cellStyle name="Normal 3 4 3 2 5 7" xfId="38056"/>
    <cellStyle name="Normal 3 4 3 2 50" xfId="8650"/>
    <cellStyle name="Normal 3 4 3 2 50 2" xfId="15731"/>
    <cellStyle name="Normal 3 4 3 2 50 3" xfId="20848"/>
    <cellStyle name="Normal 3 4 3 2 50 4" xfId="25891"/>
    <cellStyle name="Normal 3 4 3 2 50 5" xfId="30852"/>
    <cellStyle name="Normal 3 4 3 2 50 6" xfId="35710"/>
    <cellStyle name="Normal 3 4 3 2 50 7" xfId="40441"/>
    <cellStyle name="Normal 3 4 3 2 51" xfId="8764"/>
    <cellStyle name="Normal 3 4 3 2 51 2" xfId="15845"/>
    <cellStyle name="Normal 3 4 3 2 51 3" xfId="20962"/>
    <cellStyle name="Normal 3 4 3 2 51 4" xfId="26005"/>
    <cellStyle name="Normal 3 4 3 2 51 5" xfId="30966"/>
    <cellStyle name="Normal 3 4 3 2 51 6" xfId="35824"/>
    <cellStyle name="Normal 3 4 3 2 51 7" xfId="40555"/>
    <cellStyle name="Normal 3 4 3 2 52" xfId="8784"/>
    <cellStyle name="Normal 3 4 3 2 52 2" xfId="15865"/>
    <cellStyle name="Normal 3 4 3 2 52 3" xfId="20982"/>
    <cellStyle name="Normal 3 4 3 2 52 4" xfId="26025"/>
    <cellStyle name="Normal 3 4 3 2 52 5" xfId="30986"/>
    <cellStyle name="Normal 3 4 3 2 52 6" xfId="35844"/>
    <cellStyle name="Normal 3 4 3 2 52 7" xfId="40575"/>
    <cellStyle name="Normal 3 4 3 2 53" xfId="8827"/>
    <cellStyle name="Normal 3 4 3 2 53 2" xfId="15908"/>
    <cellStyle name="Normal 3 4 3 2 53 3" xfId="21025"/>
    <cellStyle name="Normal 3 4 3 2 53 4" xfId="26068"/>
    <cellStyle name="Normal 3 4 3 2 53 5" xfId="31029"/>
    <cellStyle name="Normal 3 4 3 2 53 6" xfId="35887"/>
    <cellStyle name="Normal 3 4 3 2 53 7" xfId="40618"/>
    <cellStyle name="Normal 3 4 3 2 54" xfId="8729"/>
    <cellStyle name="Normal 3 4 3 2 54 2" xfId="15810"/>
    <cellStyle name="Normal 3 4 3 2 54 3" xfId="20927"/>
    <cellStyle name="Normal 3 4 3 2 54 4" xfId="25970"/>
    <cellStyle name="Normal 3 4 3 2 54 5" xfId="30931"/>
    <cellStyle name="Normal 3 4 3 2 54 6" xfId="35789"/>
    <cellStyle name="Normal 3 4 3 2 54 7" xfId="40520"/>
    <cellStyle name="Normal 3 4 3 2 55" xfId="8452"/>
    <cellStyle name="Normal 3 4 3 2 55 2" xfId="15533"/>
    <cellStyle name="Normal 3 4 3 2 55 3" xfId="20650"/>
    <cellStyle name="Normal 3 4 3 2 55 4" xfId="25693"/>
    <cellStyle name="Normal 3 4 3 2 55 5" xfId="30654"/>
    <cellStyle name="Normal 3 4 3 2 55 6" xfId="35512"/>
    <cellStyle name="Normal 3 4 3 2 55 7" xfId="40243"/>
    <cellStyle name="Normal 3 4 3 2 56" xfId="8591"/>
    <cellStyle name="Normal 3 4 3 2 56 2" xfId="15672"/>
    <cellStyle name="Normal 3 4 3 2 56 3" xfId="20789"/>
    <cellStyle name="Normal 3 4 3 2 56 4" xfId="25832"/>
    <cellStyle name="Normal 3 4 3 2 56 5" xfId="30793"/>
    <cellStyle name="Normal 3 4 3 2 56 6" xfId="35651"/>
    <cellStyle name="Normal 3 4 3 2 56 7" xfId="40382"/>
    <cellStyle name="Normal 3 4 3 2 57" xfId="8759"/>
    <cellStyle name="Normal 3 4 3 2 57 2" xfId="15840"/>
    <cellStyle name="Normal 3 4 3 2 57 3" xfId="20957"/>
    <cellStyle name="Normal 3 4 3 2 57 4" xfId="26000"/>
    <cellStyle name="Normal 3 4 3 2 57 5" xfId="30961"/>
    <cellStyle name="Normal 3 4 3 2 57 6" xfId="35819"/>
    <cellStyle name="Normal 3 4 3 2 57 7" xfId="40550"/>
    <cellStyle name="Normal 3 4 3 2 58" xfId="8863"/>
    <cellStyle name="Normal 3 4 3 2 58 2" xfId="15944"/>
    <cellStyle name="Normal 3 4 3 2 58 3" xfId="21061"/>
    <cellStyle name="Normal 3 4 3 2 58 4" xfId="26104"/>
    <cellStyle name="Normal 3 4 3 2 58 5" xfId="31065"/>
    <cellStyle name="Normal 3 4 3 2 58 6" xfId="35923"/>
    <cellStyle name="Normal 3 4 3 2 58 7" xfId="40654"/>
    <cellStyle name="Normal 3 4 3 2 59" xfId="8586"/>
    <cellStyle name="Normal 3 4 3 2 59 2" xfId="15667"/>
    <cellStyle name="Normal 3 4 3 2 59 3" xfId="20784"/>
    <cellStyle name="Normal 3 4 3 2 59 4" xfId="25827"/>
    <cellStyle name="Normal 3 4 3 2 59 5" xfId="30788"/>
    <cellStyle name="Normal 3 4 3 2 59 6" xfId="35646"/>
    <cellStyle name="Normal 3 4 3 2 59 7" xfId="40377"/>
    <cellStyle name="Normal 3 4 3 2 6" xfId="4478"/>
    <cellStyle name="Normal 3 4 3 2 6 2" xfId="6377"/>
    <cellStyle name="Normal 3 4 3 2 6 3" xfId="18486"/>
    <cellStyle name="Normal 3 4 3 2 6 4" xfId="23529"/>
    <cellStyle name="Normal 3 4 3 2 6 5" xfId="28490"/>
    <cellStyle name="Normal 3 4 3 2 6 6" xfId="33348"/>
    <cellStyle name="Normal 3 4 3 2 6 7" xfId="38079"/>
    <cellStyle name="Normal 3 4 3 2 60" xfId="8360"/>
    <cellStyle name="Normal 3 4 3 2 60 2" xfId="15441"/>
    <cellStyle name="Normal 3 4 3 2 60 3" xfId="20558"/>
    <cellStyle name="Normal 3 4 3 2 60 4" xfId="25601"/>
    <cellStyle name="Normal 3 4 3 2 60 5" xfId="30562"/>
    <cellStyle name="Normal 3 4 3 2 60 6" xfId="35420"/>
    <cellStyle name="Normal 3 4 3 2 60 7" xfId="40151"/>
    <cellStyle name="Normal 3 4 3 2 61" xfId="8618"/>
    <cellStyle name="Normal 3 4 3 2 61 2" xfId="15699"/>
    <cellStyle name="Normal 3 4 3 2 61 3" xfId="20816"/>
    <cellStyle name="Normal 3 4 3 2 61 4" xfId="25859"/>
    <cellStyle name="Normal 3 4 3 2 61 5" xfId="30820"/>
    <cellStyle name="Normal 3 4 3 2 61 6" xfId="35678"/>
    <cellStyle name="Normal 3 4 3 2 61 7" xfId="40409"/>
    <cellStyle name="Normal 3 4 3 2 62" xfId="8756"/>
    <cellStyle name="Normal 3 4 3 2 62 2" xfId="15837"/>
    <cellStyle name="Normal 3 4 3 2 62 3" xfId="20954"/>
    <cellStyle name="Normal 3 4 3 2 62 4" xfId="25997"/>
    <cellStyle name="Normal 3 4 3 2 62 5" xfId="30958"/>
    <cellStyle name="Normal 3 4 3 2 62 6" xfId="35816"/>
    <cellStyle name="Normal 3 4 3 2 62 7" xfId="40547"/>
    <cellStyle name="Normal 3 4 3 2 63" xfId="9399"/>
    <cellStyle name="Normal 3 4 3 2 63 2" xfId="16480"/>
    <cellStyle name="Normal 3 4 3 2 63 3" xfId="21597"/>
    <cellStyle name="Normal 3 4 3 2 63 4" xfId="26640"/>
    <cellStyle name="Normal 3 4 3 2 63 5" xfId="31601"/>
    <cellStyle name="Normal 3 4 3 2 63 6" xfId="36459"/>
    <cellStyle name="Normal 3 4 3 2 63 7" xfId="41190"/>
    <cellStyle name="Normal 3 4 3 2 64" xfId="9570"/>
    <cellStyle name="Normal 3 4 3 2 64 2" xfId="16651"/>
    <cellStyle name="Normal 3 4 3 2 64 3" xfId="21768"/>
    <cellStyle name="Normal 3 4 3 2 64 4" xfId="26811"/>
    <cellStyle name="Normal 3 4 3 2 64 5" xfId="31772"/>
    <cellStyle name="Normal 3 4 3 2 64 6" xfId="36630"/>
    <cellStyle name="Normal 3 4 3 2 64 7" xfId="41361"/>
    <cellStyle name="Normal 3 4 3 2 65" xfId="9408"/>
    <cellStyle name="Normal 3 4 3 2 65 2" xfId="16489"/>
    <cellStyle name="Normal 3 4 3 2 65 3" xfId="21606"/>
    <cellStyle name="Normal 3 4 3 2 65 4" xfId="26649"/>
    <cellStyle name="Normal 3 4 3 2 65 5" xfId="31610"/>
    <cellStyle name="Normal 3 4 3 2 65 6" xfId="36468"/>
    <cellStyle name="Normal 3 4 3 2 65 7" xfId="41199"/>
    <cellStyle name="Normal 3 4 3 2 66" xfId="9500"/>
    <cellStyle name="Normal 3 4 3 2 66 2" xfId="16581"/>
    <cellStyle name="Normal 3 4 3 2 66 3" xfId="21698"/>
    <cellStyle name="Normal 3 4 3 2 66 4" xfId="26741"/>
    <cellStyle name="Normal 3 4 3 2 66 5" xfId="31702"/>
    <cellStyle name="Normal 3 4 3 2 66 6" xfId="36560"/>
    <cellStyle name="Normal 3 4 3 2 66 7" xfId="41291"/>
    <cellStyle name="Normal 3 4 3 2 67" xfId="9514"/>
    <cellStyle name="Normal 3 4 3 2 67 2" xfId="16595"/>
    <cellStyle name="Normal 3 4 3 2 67 3" xfId="21712"/>
    <cellStyle name="Normal 3 4 3 2 67 4" xfId="26755"/>
    <cellStyle name="Normal 3 4 3 2 67 5" xfId="31716"/>
    <cellStyle name="Normal 3 4 3 2 67 6" xfId="36574"/>
    <cellStyle name="Normal 3 4 3 2 67 7" xfId="41305"/>
    <cellStyle name="Normal 3 4 3 2 68" xfId="9549"/>
    <cellStyle name="Normal 3 4 3 2 68 2" xfId="16630"/>
    <cellStyle name="Normal 3 4 3 2 68 3" xfId="21747"/>
    <cellStyle name="Normal 3 4 3 2 68 4" xfId="26790"/>
    <cellStyle name="Normal 3 4 3 2 68 5" xfId="31751"/>
    <cellStyle name="Normal 3 4 3 2 68 6" xfId="36609"/>
    <cellStyle name="Normal 3 4 3 2 68 7" xfId="41340"/>
    <cellStyle name="Normal 3 4 3 2 69" xfId="9473"/>
    <cellStyle name="Normal 3 4 3 2 69 2" xfId="16554"/>
    <cellStyle name="Normal 3 4 3 2 69 3" xfId="21671"/>
    <cellStyle name="Normal 3 4 3 2 69 4" xfId="26714"/>
    <cellStyle name="Normal 3 4 3 2 69 5" xfId="31675"/>
    <cellStyle name="Normal 3 4 3 2 69 6" xfId="36533"/>
    <cellStyle name="Normal 3 4 3 2 69 7" xfId="41264"/>
    <cellStyle name="Normal 3 4 3 2 7" xfId="4587"/>
    <cellStyle name="Normal 3 4 3 2 7 2" xfId="6419"/>
    <cellStyle name="Normal 3 4 3 2 7 3" xfId="18529"/>
    <cellStyle name="Normal 3 4 3 2 7 4" xfId="23572"/>
    <cellStyle name="Normal 3 4 3 2 7 5" xfId="28533"/>
    <cellStyle name="Normal 3 4 3 2 7 6" xfId="33391"/>
    <cellStyle name="Normal 3 4 3 2 7 7" xfId="38122"/>
    <cellStyle name="Normal 3 4 3 2 70" xfId="9483"/>
    <cellStyle name="Normal 3 4 3 2 70 2" xfId="16564"/>
    <cellStyle name="Normal 3 4 3 2 70 3" xfId="21681"/>
    <cellStyle name="Normal 3 4 3 2 70 4" xfId="26724"/>
    <cellStyle name="Normal 3 4 3 2 70 5" xfId="31685"/>
    <cellStyle name="Normal 3 4 3 2 70 6" xfId="36543"/>
    <cellStyle name="Normal 3 4 3 2 70 7" xfId="41274"/>
    <cellStyle name="Normal 3 4 3 2 71" xfId="9117"/>
    <cellStyle name="Normal 3 4 3 2 71 2" xfId="16198"/>
    <cellStyle name="Normal 3 4 3 2 71 3" xfId="21315"/>
    <cellStyle name="Normal 3 4 3 2 71 4" xfId="26358"/>
    <cellStyle name="Normal 3 4 3 2 71 5" xfId="31319"/>
    <cellStyle name="Normal 3 4 3 2 71 6" xfId="36177"/>
    <cellStyle name="Normal 3 4 3 2 71 7" xfId="40908"/>
    <cellStyle name="Normal 3 4 3 2 72" xfId="9246"/>
    <cellStyle name="Normal 3 4 3 2 72 2" xfId="16327"/>
    <cellStyle name="Normal 3 4 3 2 72 3" xfId="21444"/>
    <cellStyle name="Normal 3 4 3 2 72 4" xfId="26487"/>
    <cellStyle name="Normal 3 4 3 2 72 5" xfId="31448"/>
    <cellStyle name="Normal 3 4 3 2 72 6" xfId="36306"/>
    <cellStyle name="Normal 3 4 3 2 72 7" xfId="41037"/>
    <cellStyle name="Normal 3 4 3 2 73" xfId="9189"/>
    <cellStyle name="Normal 3 4 3 2 73 2" xfId="16270"/>
    <cellStyle name="Normal 3 4 3 2 73 3" xfId="21387"/>
    <cellStyle name="Normal 3 4 3 2 73 4" xfId="26430"/>
    <cellStyle name="Normal 3 4 3 2 73 5" xfId="31391"/>
    <cellStyle name="Normal 3 4 3 2 73 6" xfId="36249"/>
    <cellStyle name="Normal 3 4 3 2 73 7" xfId="40980"/>
    <cellStyle name="Normal 3 4 3 2 74" xfId="9261"/>
    <cellStyle name="Normal 3 4 3 2 74 2" xfId="16342"/>
    <cellStyle name="Normal 3 4 3 2 74 3" xfId="21459"/>
    <cellStyle name="Normal 3 4 3 2 74 4" xfId="26502"/>
    <cellStyle name="Normal 3 4 3 2 74 5" xfId="31463"/>
    <cellStyle name="Normal 3 4 3 2 74 6" xfId="36321"/>
    <cellStyle name="Normal 3 4 3 2 74 7" xfId="41052"/>
    <cellStyle name="Normal 3 4 3 2 75" xfId="9894"/>
    <cellStyle name="Normal 3 4 3 2 75 2" xfId="16975"/>
    <cellStyle name="Normal 3 4 3 2 75 3" xfId="22092"/>
    <cellStyle name="Normal 3 4 3 2 75 4" xfId="27135"/>
    <cellStyle name="Normal 3 4 3 2 75 5" xfId="32096"/>
    <cellStyle name="Normal 3 4 3 2 75 6" xfId="36954"/>
    <cellStyle name="Normal 3 4 3 2 75 7" xfId="41685"/>
    <cellStyle name="Normal 3 4 3 2 76" xfId="9984"/>
    <cellStyle name="Normal 3 4 3 2 76 2" xfId="17065"/>
    <cellStyle name="Normal 3 4 3 2 76 3" xfId="22182"/>
    <cellStyle name="Normal 3 4 3 2 76 4" xfId="27225"/>
    <cellStyle name="Normal 3 4 3 2 76 5" xfId="32186"/>
    <cellStyle name="Normal 3 4 3 2 76 6" xfId="37044"/>
    <cellStyle name="Normal 3 4 3 2 76 7" xfId="41775"/>
    <cellStyle name="Normal 3 4 3 2 77" xfId="9902"/>
    <cellStyle name="Normal 3 4 3 2 77 2" xfId="16983"/>
    <cellStyle name="Normal 3 4 3 2 77 3" xfId="22100"/>
    <cellStyle name="Normal 3 4 3 2 77 4" xfId="27143"/>
    <cellStyle name="Normal 3 4 3 2 77 5" xfId="32104"/>
    <cellStyle name="Normal 3 4 3 2 77 6" xfId="36962"/>
    <cellStyle name="Normal 3 4 3 2 77 7" xfId="41693"/>
    <cellStyle name="Normal 3 4 3 2 78" xfId="9951"/>
    <cellStyle name="Normal 3 4 3 2 78 2" xfId="17032"/>
    <cellStyle name="Normal 3 4 3 2 78 3" xfId="22149"/>
    <cellStyle name="Normal 3 4 3 2 78 4" xfId="27192"/>
    <cellStyle name="Normal 3 4 3 2 78 5" xfId="32153"/>
    <cellStyle name="Normal 3 4 3 2 78 6" xfId="37011"/>
    <cellStyle name="Normal 3 4 3 2 78 7" xfId="41742"/>
    <cellStyle name="Normal 3 4 3 2 79" xfId="9958"/>
    <cellStyle name="Normal 3 4 3 2 79 2" xfId="17039"/>
    <cellStyle name="Normal 3 4 3 2 79 3" xfId="22156"/>
    <cellStyle name="Normal 3 4 3 2 79 4" xfId="27199"/>
    <cellStyle name="Normal 3 4 3 2 79 5" xfId="32160"/>
    <cellStyle name="Normal 3 4 3 2 79 6" xfId="37018"/>
    <cellStyle name="Normal 3 4 3 2 79 7" xfId="41749"/>
    <cellStyle name="Normal 3 4 3 2 8" xfId="4625"/>
    <cellStyle name="Normal 3 4 3 2 8 2" xfId="6315"/>
    <cellStyle name="Normal 3 4 3 2 8 3" xfId="18423"/>
    <cellStyle name="Normal 3 4 3 2 8 4" xfId="23466"/>
    <cellStyle name="Normal 3 4 3 2 8 5" xfId="28427"/>
    <cellStyle name="Normal 3 4 3 2 8 6" xfId="33285"/>
    <cellStyle name="Normal 3 4 3 2 8 7" xfId="38016"/>
    <cellStyle name="Normal 3 4 3 2 80" xfId="9974"/>
    <cellStyle name="Normal 3 4 3 2 80 2" xfId="17055"/>
    <cellStyle name="Normal 3 4 3 2 80 3" xfId="22172"/>
    <cellStyle name="Normal 3 4 3 2 80 4" xfId="27215"/>
    <cellStyle name="Normal 3 4 3 2 80 5" xfId="32176"/>
    <cellStyle name="Normal 3 4 3 2 80 6" xfId="37034"/>
    <cellStyle name="Normal 3 4 3 2 80 7" xfId="41765"/>
    <cellStyle name="Normal 3 4 3 2 81" xfId="10224"/>
    <cellStyle name="Normal 3 4 3 2 81 2" xfId="17305"/>
    <cellStyle name="Normal 3 4 3 2 81 3" xfId="22422"/>
    <cellStyle name="Normal 3 4 3 2 81 4" xfId="27465"/>
    <cellStyle name="Normal 3 4 3 2 81 5" xfId="32426"/>
    <cellStyle name="Normal 3 4 3 2 81 6" xfId="37284"/>
    <cellStyle name="Normal 3 4 3 2 81 7" xfId="42015"/>
    <cellStyle name="Normal 3 4 3 2 82" xfId="10314"/>
    <cellStyle name="Normal 3 4 3 2 82 2" xfId="17395"/>
    <cellStyle name="Normal 3 4 3 2 82 3" xfId="22512"/>
    <cellStyle name="Normal 3 4 3 2 82 4" xfId="27555"/>
    <cellStyle name="Normal 3 4 3 2 82 5" xfId="32516"/>
    <cellStyle name="Normal 3 4 3 2 82 6" xfId="37374"/>
    <cellStyle name="Normal 3 4 3 2 82 7" xfId="42105"/>
    <cellStyle name="Normal 3 4 3 2 83" xfId="10232"/>
    <cellStyle name="Normal 3 4 3 2 83 2" xfId="17313"/>
    <cellStyle name="Normal 3 4 3 2 83 3" xfId="22430"/>
    <cellStyle name="Normal 3 4 3 2 83 4" xfId="27473"/>
    <cellStyle name="Normal 3 4 3 2 83 5" xfId="32434"/>
    <cellStyle name="Normal 3 4 3 2 83 6" xfId="37292"/>
    <cellStyle name="Normal 3 4 3 2 83 7" xfId="42023"/>
    <cellStyle name="Normal 3 4 3 2 84" xfId="10281"/>
    <cellStyle name="Normal 3 4 3 2 84 2" xfId="17362"/>
    <cellStyle name="Normal 3 4 3 2 84 3" xfId="22479"/>
    <cellStyle name="Normal 3 4 3 2 84 4" xfId="27522"/>
    <cellStyle name="Normal 3 4 3 2 84 5" xfId="32483"/>
    <cellStyle name="Normal 3 4 3 2 84 6" xfId="37341"/>
    <cellStyle name="Normal 3 4 3 2 84 7" xfId="42072"/>
    <cellStyle name="Normal 3 4 3 2 85" xfId="10288"/>
    <cellStyle name="Normal 3 4 3 2 85 2" xfId="17369"/>
    <cellStyle name="Normal 3 4 3 2 85 3" xfId="22486"/>
    <cellStyle name="Normal 3 4 3 2 85 4" xfId="27529"/>
    <cellStyle name="Normal 3 4 3 2 85 5" xfId="32490"/>
    <cellStyle name="Normal 3 4 3 2 85 6" xfId="37348"/>
    <cellStyle name="Normal 3 4 3 2 85 7" xfId="42079"/>
    <cellStyle name="Normal 3 4 3 2 86" xfId="10304"/>
    <cellStyle name="Normal 3 4 3 2 86 2" xfId="17385"/>
    <cellStyle name="Normal 3 4 3 2 86 3" xfId="22502"/>
    <cellStyle name="Normal 3 4 3 2 86 4" xfId="27545"/>
    <cellStyle name="Normal 3 4 3 2 86 5" xfId="32506"/>
    <cellStyle name="Normal 3 4 3 2 86 6" xfId="37364"/>
    <cellStyle name="Normal 3 4 3 2 86 7" xfId="42095"/>
    <cellStyle name="Normal 3 4 3 2 87" xfId="13055"/>
    <cellStyle name="Normal 3 4 3 2 88" xfId="11952"/>
    <cellStyle name="Normal 3 4 3 2 89" xfId="12852"/>
    <cellStyle name="Normal 3 4 3 2 9" xfId="4506"/>
    <cellStyle name="Normal 3 4 3 2 9 2" xfId="6330"/>
    <cellStyle name="Normal 3 4 3 2 9 3" xfId="18438"/>
    <cellStyle name="Normal 3 4 3 2 9 4" xfId="23481"/>
    <cellStyle name="Normal 3 4 3 2 9 5" xfId="28442"/>
    <cellStyle name="Normal 3 4 3 2 9 6" xfId="33300"/>
    <cellStyle name="Normal 3 4 3 2 9 7" xfId="38031"/>
    <cellStyle name="Normal 3 4 3 2 90" xfId="13563"/>
    <cellStyle name="Normal 3 4 3 2 91" xfId="13135"/>
    <cellStyle name="Normal 3 4 3 2 92" xfId="12957"/>
    <cellStyle name="Normal 3 4 3 3" xfId="12993"/>
    <cellStyle name="Normal 3 4 3 4" xfId="13268"/>
    <cellStyle name="Normal 3 4 3 5" xfId="12722"/>
    <cellStyle name="Normal 3 4 3 6" xfId="12455"/>
    <cellStyle name="Normal 3 4 3 7" xfId="13663"/>
    <cellStyle name="Normal 3 4 3 8" xfId="13588"/>
    <cellStyle name="Normal 3 4 30" xfId="5757"/>
    <cellStyle name="Normal 3 4 30 2" xfId="14375"/>
    <cellStyle name="Normal 3 4 30 3" xfId="19308"/>
    <cellStyle name="Normal 3 4 30 4" xfId="24351"/>
    <cellStyle name="Normal 3 4 30 5" xfId="29312"/>
    <cellStyle name="Normal 3 4 30 6" xfId="34170"/>
    <cellStyle name="Normal 3 4 30 7" xfId="38901"/>
    <cellStyle name="Normal 3 4 31" xfId="7253"/>
    <cellStyle name="Normal 3 4 31 2" xfId="14415"/>
    <cellStyle name="Normal 3 4 31 3" xfId="19416"/>
    <cellStyle name="Normal 3 4 31 4" xfId="24459"/>
    <cellStyle name="Normal 3 4 31 5" xfId="29420"/>
    <cellStyle name="Normal 3 4 31 6" xfId="34278"/>
    <cellStyle name="Normal 3 4 31 7" xfId="39009"/>
    <cellStyle name="Normal 3 4 32" xfId="6940"/>
    <cellStyle name="Normal 3 4 32 2" xfId="14253"/>
    <cellStyle name="Normal 3 4 32 3" xfId="19069"/>
    <cellStyle name="Normal 3 4 32 4" xfId="24112"/>
    <cellStyle name="Normal 3 4 32 5" xfId="29073"/>
    <cellStyle name="Normal 3 4 32 6" xfId="33931"/>
    <cellStyle name="Normal 3 4 32 7" xfId="38662"/>
    <cellStyle name="Normal 3 4 33" xfId="6889"/>
    <cellStyle name="Normal 3 4 33 2" xfId="14224"/>
    <cellStyle name="Normal 3 4 33 3" xfId="19011"/>
    <cellStyle name="Normal 3 4 33 4" xfId="24054"/>
    <cellStyle name="Normal 3 4 33 5" xfId="29015"/>
    <cellStyle name="Normal 3 4 33 6" xfId="33873"/>
    <cellStyle name="Normal 3 4 33 7" xfId="38604"/>
    <cellStyle name="Normal 3 4 34" xfId="7160"/>
    <cellStyle name="Normal 3 4 34 2" xfId="14380"/>
    <cellStyle name="Normal 3 4 34 3" xfId="19315"/>
    <cellStyle name="Normal 3 4 34 4" xfId="24358"/>
    <cellStyle name="Normal 3 4 34 5" xfId="29319"/>
    <cellStyle name="Normal 3 4 34 6" xfId="34177"/>
    <cellStyle name="Normal 3 4 34 7" xfId="38908"/>
    <cellStyle name="Normal 3 4 35" xfId="7325"/>
    <cellStyle name="Normal 3 4 35 2" xfId="14454"/>
    <cellStyle name="Normal 3 4 35 3" xfId="19496"/>
    <cellStyle name="Normal 3 4 35 4" xfId="24539"/>
    <cellStyle name="Normal 3 4 35 5" xfId="29500"/>
    <cellStyle name="Normal 3 4 35 6" xfId="34358"/>
    <cellStyle name="Normal 3 4 35 7" xfId="39089"/>
    <cellStyle name="Normal 3 4 36" xfId="7649"/>
    <cellStyle name="Normal 3 4 36 2" xfId="14729"/>
    <cellStyle name="Normal 3 4 36 3" xfId="19846"/>
    <cellStyle name="Normal 3 4 36 4" xfId="24889"/>
    <cellStyle name="Normal 3 4 36 5" xfId="29850"/>
    <cellStyle name="Normal 3 4 36 6" xfId="34708"/>
    <cellStyle name="Normal 3 4 36 7" xfId="39439"/>
    <cellStyle name="Normal 3 4 37" xfId="7710"/>
    <cellStyle name="Normal 3 4 37 2" xfId="14790"/>
    <cellStyle name="Normal 3 4 37 3" xfId="19907"/>
    <cellStyle name="Normal 3 4 37 4" xfId="24950"/>
    <cellStyle name="Normal 3 4 37 5" xfId="29911"/>
    <cellStyle name="Normal 3 4 37 6" xfId="34769"/>
    <cellStyle name="Normal 3 4 37 7" xfId="39500"/>
    <cellStyle name="Normal 3 4 38" xfId="7810"/>
    <cellStyle name="Normal 3 4 38 2" xfId="14890"/>
    <cellStyle name="Normal 3 4 38 3" xfId="20007"/>
    <cellStyle name="Normal 3 4 38 4" xfId="25050"/>
    <cellStyle name="Normal 3 4 38 5" xfId="30011"/>
    <cellStyle name="Normal 3 4 38 6" xfId="34869"/>
    <cellStyle name="Normal 3 4 38 7" xfId="39600"/>
    <cellStyle name="Normal 3 4 39" xfId="7674"/>
    <cellStyle name="Normal 3 4 39 2" xfId="14754"/>
    <cellStyle name="Normal 3 4 39 3" xfId="19871"/>
    <cellStyle name="Normal 3 4 39 4" xfId="24914"/>
    <cellStyle name="Normal 3 4 39 5" xfId="29875"/>
    <cellStyle name="Normal 3 4 39 6" xfId="34733"/>
    <cellStyle name="Normal 3 4 39 7" xfId="39464"/>
    <cellStyle name="Normal 3 4 4" xfId="4247"/>
    <cellStyle name="Normal 3 4 4 2" xfId="6001"/>
    <cellStyle name="Normal 3 4 4 3" xfId="18104"/>
    <cellStyle name="Normal 3 4 4 4" xfId="23147"/>
    <cellStyle name="Normal 3 4 4 5" xfId="28108"/>
    <cellStyle name="Normal 3 4 4 6" xfId="32966"/>
    <cellStyle name="Normal 3 4 4 7" xfId="37697"/>
    <cellStyle name="Normal 3 4 40" xfId="7876"/>
    <cellStyle name="Normal 3 4 40 2" xfId="14956"/>
    <cellStyle name="Normal 3 4 40 3" xfId="20073"/>
    <cellStyle name="Normal 3 4 40 4" xfId="25116"/>
    <cellStyle name="Normal 3 4 40 5" xfId="30077"/>
    <cellStyle name="Normal 3 4 40 6" xfId="34935"/>
    <cellStyle name="Normal 3 4 40 7" xfId="39666"/>
    <cellStyle name="Normal 3 4 41" xfId="7890"/>
    <cellStyle name="Normal 3 4 41 2" xfId="14970"/>
    <cellStyle name="Normal 3 4 41 3" xfId="20087"/>
    <cellStyle name="Normal 3 4 41 4" xfId="25130"/>
    <cellStyle name="Normal 3 4 41 5" xfId="30091"/>
    <cellStyle name="Normal 3 4 41 6" xfId="34949"/>
    <cellStyle name="Normal 3 4 41 7" xfId="39680"/>
    <cellStyle name="Normal 3 4 42" xfId="7814"/>
    <cellStyle name="Normal 3 4 42 2" xfId="14894"/>
    <cellStyle name="Normal 3 4 42 3" xfId="20011"/>
    <cellStyle name="Normal 3 4 42 4" xfId="25054"/>
    <cellStyle name="Normal 3 4 42 5" xfId="30015"/>
    <cellStyle name="Normal 3 4 42 6" xfId="34873"/>
    <cellStyle name="Normal 3 4 42 7" xfId="39604"/>
    <cellStyle name="Normal 3 4 43" xfId="7935"/>
    <cellStyle name="Normal 3 4 43 2" xfId="15015"/>
    <cellStyle name="Normal 3 4 43 3" xfId="20132"/>
    <cellStyle name="Normal 3 4 43 4" xfId="25175"/>
    <cellStyle name="Normal 3 4 43 5" xfId="30136"/>
    <cellStyle name="Normal 3 4 43 6" xfId="34994"/>
    <cellStyle name="Normal 3 4 43 7" xfId="39725"/>
    <cellStyle name="Normal 3 4 44" xfId="7543"/>
    <cellStyle name="Normal 3 4 44 2" xfId="14621"/>
    <cellStyle name="Normal 3 4 44 3" xfId="19738"/>
    <cellStyle name="Normal 3 4 44 4" xfId="24781"/>
    <cellStyle name="Normal 3 4 44 5" xfId="29742"/>
    <cellStyle name="Normal 3 4 44 6" xfId="34600"/>
    <cellStyle name="Normal 3 4 44 7" xfId="39331"/>
    <cellStyle name="Normal 3 4 45" xfId="7479"/>
    <cellStyle name="Normal 3 4 45 2" xfId="14554"/>
    <cellStyle name="Normal 3 4 45 3" xfId="19671"/>
    <cellStyle name="Normal 3 4 45 4" xfId="24714"/>
    <cellStyle name="Normal 3 4 45 5" xfId="29675"/>
    <cellStyle name="Normal 3 4 45 6" xfId="34533"/>
    <cellStyle name="Normal 3 4 45 7" xfId="39264"/>
    <cellStyle name="Normal 3 4 46" xfId="7821"/>
    <cellStyle name="Normal 3 4 46 2" xfId="14901"/>
    <cellStyle name="Normal 3 4 46 3" xfId="20018"/>
    <cellStyle name="Normal 3 4 46 4" xfId="25061"/>
    <cellStyle name="Normal 3 4 46 5" xfId="30022"/>
    <cellStyle name="Normal 3 4 46 6" xfId="34880"/>
    <cellStyle name="Normal 3 4 46 7" xfId="39611"/>
    <cellStyle name="Normal 3 4 47" xfId="8036"/>
    <cellStyle name="Normal 3 4 47 2" xfId="15116"/>
    <cellStyle name="Normal 3 4 47 3" xfId="20233"/>
    <cellStyle name="Normal 3 4 47 4" xfId="25276"/>
    <cellStyle name="Normal 3 4 47 5" xfId="30237"/>
    <cellStyle name="Normal 3 4 47 6" xfId="35095"/>
    <cellStyle name="Normal 3 4 47 7" xfId="39826"/>
    <cellStyle name="Normal 3 4 48" xfId="7971"/>
    <cellStyle name="Normal 3 4 48 2" xfId="15051"/>
    <cellStyle name="Normal 3 4 48 3" xfId="20168"/>
    <cellStyle name="Normal 3 4 48 4" xfId="25211"/>
    <cellStyle name="Normal 3 4 48 5" xfId="30172"/>
    <cellStyle name="Normal 3 4 48 6" xfId="35030"/>
    <cellStyle name="Normal 3 4 48 7" xfId="39761"/>
    <cellStyle name="Normal 3 4 49" xfId="7534"/>
    <cellStyle name="Normal 3 4 49 2" xfId="14612"/>
    <cellStyle name="Normal 3 4 49 3" xfId="19729"/>
    <cellStyle name="Normal 3 4 49 4" xfId="24772"/>
    <cellStyle name="Normal 3 4 49 5" xfId="29733"/>
    <cellStyle name="Normal 3 4 49 6" xfId="34591"/>
    <cellStyle name="Normal 3 4 49 7" xfId="39322"/>
    <cellStyle name="Normal 3 4 5" xfId="4213"/>
    <cellStyle name="Normal 3 4 5 2" xfId="6068"/>
    <cellStyle name="Normal 3 4 5 3" xfId="18172"/>
    <cellStyle name="Normal 3 4 5 4" xfId="23215"/>
    <cellStyle name="Normal 3 4 5 5" xfId="28176"/>
    <cellStyle name="Normal 3 4 5 6" xfId="33034"/>
    <cellStyle name="Normal 3 4 5 7" xfId="37765"/>
    <cellStyle name="Normal 3 4 50" xfId="8421"/>
    <cellStyle name="Normal 3 4 50 2" xfId="15502"/>
    <cellStyle name="Normal 3 4 50 3" xfId="20619"/>
    <cellStyle name="Normal 3 4 50 4" xfId="25662"/>
    <cellStyle name="Normal 3 4 50 5" xfId="30623"/>
    <cellStyle name="Normal 3 4 50 6" xfId="35481"/>
    <cellStyle name="Normal 3 4 50 7" xfId="40212"/>
    <cellStyle name="Normal 3 4 51" xfId="8491"/>
    <cellStyle name="Normal 3 4 51 2" xfId="15572"/>
    <cellStyle name="Normal 3 4 51 3" xfId="20689"/>
    <cellStyle name="Normal 3 4 51 4" xfId="25732"/>
    <cellStyle name="Normal 3 4 51 5" xfId="30693"/>
    <cellStyle name="Normal 3 4 51 6" xfId="35551"/>
    <cellStyle name="Normal 3 4 51 7" xfId="40282"/>
    <cellStyle name="Normal 3 4 52" xfId="8596"/>
    <cellStyle name="Normal 3 4 52 2" xfId="15677"/>
    <cellStyle name="Normal 3 4 52 3" xfId="20794"/>
    <cellStyle name="Normal 3 4 52 4" xfId="25837"/>
    <cellStyle name="Normal 3 4 52 5" xfId="30798"/>
    <cellStyle name="Normal 3 4 52 6" xfId="35656"/>
    <cellStyle name="Normal 3 4 52 7" xfId="40387"/>
    <cellStyle name="Normal 3 4 53" xfId="8450"/>
    <cellStyle name="Normal 3 4 53 2" xfId="15531"/>
    <cellStyle name="Normal 3 4 53 3" xfId="20648"/>
    <cellStyle name="Normal 3 4 53 4" xfId="25691"/>
    <cellStyle name="Normal 3 4 53 5" xfId="30652"/>
    <cellStyle name="Normal 3 4 53 6" xfId="35510"/>
    <cellStyle name="Normal 3 4 53 7" xfId="40241"/>
    <cellStyle name="Normal 3 4 54" xfId="8676"/>
    <cellStyle name="Normal 3 4 54 2" xfId="15757"/>
    <cellStyle name="Normal 3 4 54 3" xfId="20874"/>
    <cellStyle name="Normal 3 4 54 4" xfId="25917"/>
    <cellStyle name="Normal 3 4 54 5" xfId="30878"/>
    <cellStyle name="Normal 3 4 54 6" xfId="35736"/>
    <cellStyle name="Normal 3 4 54 7" xfId="40467"/>
    <cellStyle name="Normal 3 4 55" xfId="8693"/>
    <cellStyle name="Normal 3 4 55 2" xfId="15774"/>
    <cellStyle name="Normal 3 4 55 3" xfId="20891"/>
    <cellStyle name="Normal 3 4 55 4" xfId="25934"/>
    <cellStyle name="Normal 3 4 55 5" xfId="30895"/>
    <cellStyle name="Normal 3 4 55 6" xfId="35753"/>
    <cellStyle name="Normal 3 4 55 7" xfId="40484"/>
    <cellStyle name="Normal 3 4 56" xfId="8601"/>
    <cellStyle name="Normal 3 4 56 2" xfId="15682"/>
    <cellStyle name="Normal 3 4 56 3" xfId="20799"/>
    <cellStyle name="Normal 3 4 56 4" xfId="25842"/>
    <cellStyle name="Normal 3 4 56 5" xfId="30803"/>
    <cellStyle name="Normal 3 4 56 6" xfId="35661"/>
    <cellStyle name="Normal 3 4 56 7" xfId="40392"/>
    <cellStyle name="Normal 3 4 57" xfId="8855"/>
    <cellStyle name="Normal 3 4 57 2" xfId="15936"/>
    <cellStyle name="Normal 3 4 57 3" xfId="21053"/>
    <cellStyle name="Normal 3 4 57 4" xfId="26096"/>
    <cellStyle name="Normal 3 4 57 5" xfId="31057"/>
    <cellStyle name="Normal 3 4 57 6" xfId="35915"/>
    <cellStyle name="Normal 3 4 57 7" xfId="40646"/>
    <cellStyle name="Normal 3 4 58" xfId="8641"/>
    <cellStyle name="Normal 3 4 58 2" xfId="15722"/>
    <cellStyle name="Normal 3 4 58 3" xfId="20839"/>
    <cellStyle name="Normal 3 4 58 4" xfId="25882"/>
    <cellStyle name="Normal 3 4 58 5" xfId="30843"/>
    <cellStyle name="Normal 3 4 58 6" xfId="35701"/>
    <cellStyle name="Normal 3 4 58 7" xfId="40432"/>
    <cellStyle name="Normal 3 4 59" xfId="8924"/>
    <cellStyle name="Normal 3 4 59 2" xfId="16005"/>
    <cellStyle name="Normal 3 4 59 3" xfId="21122"/>
    <cellStyle name="Normal 3 4 59 4" xfId="26165"/>
    <cellStyle name="Normal 3 4 59 5" xfId="31126"/>
    <cellStyle name="Normal 3 4 59 6" xfId="35984"/>
    <cellStyle name="Normal 3 4 59 7" xfId="40715"/>
    <cellStyle name="Normal 3 4 6" xfId="4280"/>
    <cellStyle name="Normal 3 4 6 2" xfId="6181"/>
    <cellStyle name="Normal 3 4 6 3" xfId="18285"/>
    <cellStyle name="Normal 3 4 6 4" xfId="23328"/>
    <cellStyle name="Normal 3 4 6 5" xfId="28289"/>
    <cellStyle name="Normal 3 4 6 6" xfId="33147"/>
    <cellStyle name="Normal 3 4 6 7" xfId="37878"/>
    <cellStyle name="Normal 3 4 60" xfId="8306"/>
    <cellStyle name="Normal 3 4 60 2" xfId="15387"/>
    <cellStyle name="Normal 3 4 60 3" xfId="20504"/>
    <cellStyle name="Normal 3 4 60 4" xfId="25547"/>
    <cellStyle name="Normal 3 4 60 5" xfId="30508"/>
    <cellStyle name="Normal 3 4 60 6" xfId="35366"/>
    <cellStyle name="Normal 3 4 60 7" xfId="40097"/>
    <cellStyle name="Normal 3 4 61" xfId="8750"/>
    <cellStyle name="Normal 3 4 61 2" xfId="15831"/>
    <cellStyle name="Normal 3 4 61 3" xfId="20948"/>
    <cellStyle name="Normal 3 4 61 4" xfId="25991"/>
    <cellStyle name="Normal 3 4 61 5" xfId="30952"/>
    <cellStyle name="Normal 3 4 61 6" xfId="35810"/>
    <cellStyle name="Normal 3 4 61 7" xfId="40541"/>
    <cellStyle name="Normal 3 4 62" xfId="8484"/>
    <cellStyle name="Normal 3 4 62 2" xfId="15565"/>
    <cellStyle name="Normal 3 4 62 3" xfId="20682"/>
    <cellStyle name="Normal 3 4 62 4" xfId="25725"/>
    <cellStyle name="Normal 3 4 62 5" xfId="30686"/>
    <cellStyle name="Normal 3 4 62 6" xfId="35544"/>
    <cellStyle name="Normal 3 4 62 7" xfId="40275"/>
    <cellStyle name="Normal 3 4 63" xfId="8854"/>
    <cellStyle name="Normal 3 4 63 2" xfId="15935"/>
    <cellStyle name="Normal 3 4 63 3" xfId="21052"/>
    <cellStyle name="Normal 3 4 63 4" xfId="26095"/>
    <cellStyle name="Normal 3 4 63 5" xfId="31056"/>
    <cellStyle name="Normal 3 4 63 6" xfId="35914"/>
    <cellStyle name="Normal 3 4 63 7" xfId="40645"/>
    <cellStyle name="Normal 3 4 64" xfId="8516"/>
    <cellStyle name="Normal 3 4 64 2" xfId="15597"/>
    <cellStyle name="Normal 3 4 64 3" xfId="20714"/>
    <cellStyle name="Normal 3 4 64 4" xfId="25757"/>
    <cellStyle name="Normal 3 4 64 5" xfId="30718"/>
    <cellStyle name="Normal 3 4 64 6" xfId="35576"/>
    <cellStyle name="Normal 3 4 64 7" xfId="40307"/>
    <cellStyle name="Normal 3 4 65" xfId="9221"/>
    <cellStyle name="Normal 3 4 65 2" xfId="16302"/>
    <cellStyle name="Normal 3 4 65 3" xfId="21419"/>
    <cellStyle name="Normal 3 4 65 4" xfId="26462"/>
    <cellStyle name="Normal 3 4 65 5" xfId="31423"/>
    <cellStyle name="Normal 3 4 65 6" xfId="36281"/>
    <cellStyle name="Normal 3 4 65 7" xfId="41012"/>
    <cellStyle name="Normal 3 4 66" xfId="9274"/>
    <cellStyle name="Normal 3 4 66 2" xfId="16355"/>
    <cellStyle name="Normal 3 4 66 3" xfId="21472"/>
    <cellStyle name="Normal 3 4 66 4" xfId="26515"/>
    <cellStyle name="Normal 3 4 66 5" xfId="31476"/>
    <cellStyle name="Normal 3 4 66 6" xfId="36334"/>
    <cellStyle name="Normal 3 4 66 7" xfId="41065"/>
    <cellStyle name="Normal 3 4 67" xfId="9365"/>
    <cellStyle name="Normal 3 4 67 2" xfId="16446"/>
    <cellStyle name="Normal 3 4 67 3" xfId="21563"/>
    <cellStyle name="Normal 3 4 67 4" xfId="26606"/>
    <cellStyle name="Normal 3 4 67 5" xfId="31567"/>
    <cellStyle name="Normal 3 4 67 6" xfId="36425"/>
    <cellStyle name="Normal 3 4 67 7" xfId="41156"/>
    <cellStyle name="Normal 3 4 68" xfId="9244"/>
    <cellStyle name="Normal 3 4 68 2" xfId="16325"/>
    <cellStyle name="Normal 3 4 68 3" xfId="21442"/>
    <cellStyle name="Normal 3 4 68 4" xfId="26485"/>
    <cellStyle name="Normal 3 4 68 5" xfId="31446"/>
    <cellStyle name="Normal 3 4 68 6" xfId="36304"/>
    <cellStyle name="Normal 3 4 68 7" xfId="41035"/>
    <cellStyle name="Normal 3 4 69" xfId="9426"/>
    <cellStyle name="Normal 3 4 69 2" xfId="16507"/>
    <cellStyle name="Normal 3 4 69 3" xfId="21624"/>
    <cellStyle name="Normal 3 4 69 4" xfId="26667"/>
    <cellStyle name="Normal 3 4 69 5" xfId="31628"/>
    <cellStyle name="Normal 3 4 69 6" xfId="36486"/>
    <cellStyle name="Normal 3 4 69 7" xfId="41217"/>
    <cellStyle name="Normal 3 4 7" xfId="4389"/>
    <cellStyle name="Normal 3 4 7 2" xfId="6027"/>
    <cellStyle name="Normal 3 4 7 3" xfId="18131"/>
    <cellStyle name="Normal 3 4 7 4" xfId="23174"/>
    <cellStyle name="Normal 3 4 7 5" xfId="28135"/>
    <cellStyle name="Normal 3 4 7 6" xfId="32993"/>
    <cellStyle name="Normal 3 4 7 7" xfId="37724"/>
    <cellStyle name="Normal 3 4 70" xfId="9439"/>
    <cellStyle name="Normal 3 4 70 2" xfId="16520"/>
    <cellStyle name="Normal 3 4 70 3" xfId="21637"/>
    <cellStyle name="Normal 3 4 70 4" xfId="26680"/>
    <cellStyle name="Normal 3 4 70 5" xfId="31641"/>
    <cellStyle name="Normal 3 4 70 6" xfId="36499"/>
    <cellStyle name="Normal 3 4 70 7" xfId="41230"/>
    <cellStyle name="Normal 3 4 71" xfId="9368"/>
    <cellStyle name="Normal 3 4 71 2" xfId="16449"/>
    <cellStyle name="Normal 3 4 71 3" xfId="21566"/>
    <cellStyle name="Normal 3 4 71 4" xfId="26609"/>
    <cellStyle name="Normal 3 4 71 5" xfId="31570"/>
    <cellStyle name="Normal 3 4 71 6" xfId="36428"/>
    <cellStyle name="Normal 3 4 71 7" xfId="41159"/>
    <cellStyle name="Normal 3 4 72" xfId="9476"/>
    <cellStyle name="Normal 3 4 72 2" xfId="16557"/>
    <cellStyle name="Normal 3 4 72 3" xfId="21674"/>
    <cellStyle name="Normal 3 4 72 4" xfId="26717"/>
    <cellStyle name="Normal 3 4 72 5" xfId="31678"/>
    <cellStyle name="Normal 3 4 72 6" xfId="36536"/>
    <cellStyle name="Normal 3 4 72 7" xfId="41267"/>
    <cellStyle name="Normal 3 4 73" xfId="9129"/>
    <cellStyle name="Normal 3 4 73 2" xfId="16210"/>
    <cellStyle name="Normal 3 4 73 3" xfId="21327"/>
    <cellStyle name="Normal 3 4 73 4" xfId="26370"/>
    <cellStyle name="Normal 3 4 73 5" xfId="31331"/>
    <cellStyle name="Normal 3 4 73 6" xfId="36189"/>
    <cellStyle name="Normal 3 4 73 7" xfId="40920"/>
    <cellStyle name="Normal 3 4 74" xfId="9071"/>
    <cellStyle name="Normal 3 4 74 2" xfId="16152"/>
    <cellStyle name="Normal 3 4 74 3" xfId="21269"/>
    <cellStyle name="Normal 3 4 74 4" xfId="26312"/>
    <cellStyle name="Normal 3 4 74 5" xfId="31273"/>
    <cellStyle name="Normal 3 4 74 6" xfId="36131"/>
    <cellStyle name="Normal 3 4 74 7" xfId="40862"/>
    <cellStyle name="Normal 3 4 75" xfId="9375"/>
    <cellStyle name="Normal 3 4 75 2" xfId="16456"/>
    <cellStyle name="Normal 3 4 75 3" xfId="21573"/>
    <cellStyle name="Normal 3 4 75 4" xfId="26616"/>
    <cellStyle name="Normal 3 4 75 5" xfId="31577"/>
    <cellStyle name="Normal 3 4 75 6" xfId="36435"/>
    <cellStyle name="Normal 3 4 75 7" xfId="41166"/>
    <cellStyle name="Normal 3 4 76" xfId="9556"/>
    <cellStyle name="Normal 3 4 76 2" xfId="16637"/>
    <cellStyle name="Normal 3 4 76 3" xfId="21754"/>
    <cellStyle name="Normal 3 4 76 4" xfId="26797"/>
    <cellStyle name="Normal 3 4 76 5" xfId="31758"/>
    <cellStyle name="Normal 3 4 76 6" xfId="36616"/>
    <cellStyle name="Normal 3 4 76 7" xfId="41347"/>
    <cellStyle name="Normal 3 4 77" xfId="9798"/>
    <cellStyle name="Normal 3 4 77 2" xfId="16879"/>
    <cellStyle name="Normal 3 4 77 3" xfId="21996"/>
    <cellStyle name="Normal 3 4 77 4" xfId="27039"/>
    <cellStyle name="Normal 3 4 77 5" xfId="32000"/>
    <cellStyle name="Normal 3 4 77 6" xfId="36858"/>
    <cellStyle name="Normal 3 4 77 7" xfId="41589"/>
    <cellStyle name="Normal 3 4 78" xfId="9823"/>
    <cellStyle name="Normal 3 4 78 2" xfId="16904"/>
    <cellStyle name="Normal 3 4 78 3" xfId="22021"/>
    <cellStyle name="Normal 3 4 78 4" xfId="27064"/>
    <cellStyle name="Normal 3 4 78 5" xfId="32025"/>
    <cellStyle name="Normal 3 4 78 6" xfId="36883"/>
    <cellStyle name="Normal 3 4 78 7" xfId="41614"/>
    <cellStyle name="Normal 3 4 79" xfId="9870"/>
    <cellStyle name="Normal 3 4 79 2" xfId="16951"/>
    <cellStyle name="Normal 3 4 79 3" xfId="22068"/>
    <cellStyle name="Normal 3 4 79 4" xfId="27111"/>
    <cellStyle name="Normal 3 4 79 5" xfId="32072"/>
    <cellStyle name="Normal 3 4 79 6" xfId="36930"/>
    <cellStyle name="Normal 3 4 79 7" xfId="41661"/>
    <cellStyle name="Normal 3 4 8" xfId="4445"/>
    <cellStyle name="Normal 3 4 8 2" xfId="6253"/>
    <cellStyle name="Normal 3 4 8 3" xfId="18357"/>
    <cellStyle name="Normal 3 4 8 4" xfId="23400"/>
    <cellStyle name="Normal 3 4 8 5" xfId="28361"/>
    <cellStyle name="Normal 3 4 8 6" xfId="33219"/>
    <cellStyle name="Normal 3 4 8 7" xfId="37950"/>
    <cellStyle name="Normal 3 4 80" xfId="9811"/>
    <cellStyle name="Normal 3 4 80 2" xfId="16892"/>
    <cellStyle name="Normal 3 4 80 3" xfId="22009"/>
    <cellStyle name="Normal 3 4 80 4" xfId="27052"/>
    <cellStyle name="Normal 3 4 80 5" xfId="32013"/>
    <cellStyle name="Normal 3 4 80 6" xfId="36871"/>
    <cellStyle name="Normal 3 4 80 7" xfId="41602"/>
    <cellStyle name="Normal 3 4 81" xfId="9911"/>
    <cellStyle name="Normal 3 4 81 2" xfId="16992"/>
    <cellStyle name="Normal 3 4 81 3" xfId="22109"/>
    <cellStyle name="Normal 3 4 81 4" xfId="27152"/>
    <cellStyle name="Normal 3 4 81 5" xfId="32113"/>
    <cellStyle name="Normal 3 4 81 6" xfId="36971"/>
    <cellStyle name="Normal 3 4 81 7" xfId="41702"/>
    <cellStyle name="Normal 3 4 82" xfId="9920"/>
    <cellStyle name="Normal 3 4 82 2" xfId="17001"/>
    <cellStyle name="Normal 3 4 82 3" xfId="22118"/>
    <cellStyle name="Normal 3 4 82 4" xfId="27161"/>
    <cellStyle name="Normal 3 4 82 5" xfId="32122"/>
    <cellStyle name="Normal 3 4 82 6" xfId="36980"/>
    <cellStyle name="Normal 3 4 82 7" xfId="41711"/>
    <cellStyle name="Normal 3 4 83" xfId="10128"/>
    <cellStyle name="Normal 3 4 83 2" xfId="17209"/>
    <cellStyle name="Normal 3 4 83 3" xfId="22326"/>
    <cellStyle name="Normal 3 4 83 4" xfId="27369"/>
    <cellStyle name="Normal 3 4 83 5" xfId="32330"/>
    <cellStyle name="Normal 3 4 83 6" xfId="37188"/>
    <cellStyle name="Normal 3 4 83 7" xfId="41919"/>
    <cellStyle name="Normal 3 4 84" xfId="10153"/>
    <cellStyle name="Normal 3 4 84 2" xfId="17234"/>
    <cellStyle name="Normal 3 4 84 3" xfId="22351"/>
    <cellStyle name="Normal 3 4 84 4" xfId="27394"/>
    <cellStyle name="Normal 3 4 84 5" xfId="32355"/>
    <cellStyle name="Normal 3 4 84 6" xfId="37213"/>
    <cellStyle name="Normal 3 4 84 7" xfId="41944"/>
    <cellStyle name="Normal 3 4 85" xfId="10200"/>
    <cellStyle name="Normal 3 4 85 2" xfId="17281"/>
    <cellStyle name="Normal 3 4 85 3" xfId="22398"/>
    <cellStyle name="Normal 3 4 85 4" xfId="27441"/>
    <cellStyle name="Normal 3 4 85 5" xfId="32402"/>
    <cellStyle name="Normal 3 4 85 6" xfId="37260"/>
    <cellStyle name="Normal 3 4 85 7" xfId="41991"/>
    <cellStyle name="Normal 3 4 86" xfId="10141"/>
    <cellStyle name="Normal 3 4 86 2" xfId="17222"/>
    <cellStyle name="Normal 3 4 86 3" xfId="22339"/>
    <cellStyle name="Normal 3 4 86 4" xfId="27382"/>
    <cellStyle name="Normal 3 4 86 5" xfId="32343"/>
    <cellStyle name="Normal 3 4 86 6" xfId="37201"/>
    <cellStyle name="Normal 3 4 86 7" xfId="41932"/>
    <cellStyle name="Normal 3 4 87" xfId="10241"/>
    <cellStyle name="Normal 3 4 87 2" xfId="17322"/>
    <cellStyle name="Normal 3 4 87 3" xfId="22439"/>
    <cellStyle name="Normal 3 4 87 4" xfId="27482"/>
    <cellStyle name="Normal 3 4 87 5" xfId="32443"/>
    <cellStyle name="Normal 3 4 87 6" xfId="37301"/>
    <cellStyle name="Normal 3 4 87 7" xfId="42032"/>
    <cellStyle name="Normal 3 4 88" xfId="10250"/>
    <cellStyle name="Normal 3 4 88 2" xfId="17331"/>
    <cellStyle name="Normal 3 4 88 3" xfId="22448"/>
    <cellStyle name="Normal 3 4 88 4" xfId="27491"/>
    <cellStyle name="Normal 3 4 88 5" xfId="32452"/>
    <cellStyle name="Normal 3 4 88 6" xfId="37310"/>
    <cellStyle name="Normal 3 4 88 7" xfId="42041"/>
    <cellStyle name="Normal 3 4 89" xfId="12228"/>
    <cellStyle name="Normal 3 4 9" xfId="4529"/>
    <cellStyle name="Normal 3 4 9 2" xfId="6269"/>
    <cellStyle name="Normal 3 4 9 3" xfId="18373"/>
    <cellStyle name="Normal 3 4 9 4" xfId="23416"/>
    <cellStyle name="Normal 3 4 9 5" xfId="28377"/>
    <cellStyle name="Normal 3 4 9 6" xfId="33235"/>
    <cellStyle name="Normal 3 4 9 7" xfId="37966"/>
    <cellStyle name="Normal 3 4 90" xfId="12120"/>
    <cellStyle name="Normal 3 4 91" xfId="11876"/>
    <cellStyle name="Normal 3 4 92" xfId="11975"/>
    <cellStyle name="Normal 3 4 93" xfId="13758"/>
    <cellStyle name="Normal 3 4 94" xfId="17503"/>
    <cellStyle name="Normal 3 5" xfId="1682"/>
    <cellStyle name="Normal 3 5 10" xfId="4609"/>
    <cellStyle name="Normal 3 5 10 2" xfId="6464"/>
    <cellStyle name="Normal 3 5 10 3" xfId="18574"/>
    <cellStyle name="Normal 3 5 10 4" xfId="23617"/>
    <cellStyle name="Normal 3 5 10 5" xfId="28578"/>
    <cellStyle name="Normal 3 5 10 6" xfId="33436"/>
    <cellStyle name="Normal 3 5 10 7" xfId="38167"/>
    <cellStyle name="Normal 3 5 11" xfId="4678"/>
    <cellStyle name="Normal 3 5 11 2" xfId="5957"/>
    <cellStyle name="Normal 3 5 11 3" xfId="18059"/>
    <cellStyle name="Normal 3 5 11 4" xfId="23102"/>
    <cellStyle name="Normal 3 5 11 5" xfId="28063"/>
    <cellStyle name="Normal 3 5 11 6" xfId="32921"/>
    <cellStyle name="Normal 3 5 11 7" xfId="37652"/>
    <cellStyle name="Normal 3 5 12" xfId="4812"/>
    <cellStyle name="Normal 3 5 12 2" xfId="6232"/>
    <cellStyle name="Normal 3 5 12 3" xfId="18336"/>
    <cellStyle name="Normal 3 5 12 4" xfId="23379"/>
    <cellStyle name="Normal 3 5 12 5" xfId="28340"/>
    <cellStyle name="Normal 3 5 12 6" xfId="33198"/>
    <cellStyle name="Normal 3 5 12 7" xfId="37929"/>
    <cellStyle name="Normal 3 5 13" xfId="4881"/>
    <cellStyle name="Normal 3 5 13 2" xfId="5981"/>
    <cellStyle name="Normal 3 5 13 3" xfId="18084"/>
    <cellStyle name="Normal 3 5 13 4" xfId="23127"/>
    <cellStyle name="Normal 3 5 13 5" xfId="28088"/>
    <cellStyle name="Normal 3 5 13 6" xfId="32946"/>
    <cellStyle name="Normal 3 5 13 7" xfId="37677"/>
    <cellStyle name="Normal 3 5 14" xfId="4756"/>
    <cellStyle name="Normal 3 5 14 2" xfId="5914"/>
    <cellStyle name="Normal 3 5 14 3" xfId="18016"/>
    <cellStyle name="Normal 3 5 14 4" xfId="23059"/>
    <cellStyle name="Normal 3 5 14 5" xfId="28020"/>
    <cellStyle name="Normal 3 5 14 6" xfId="32878"/>
    <cellStyle name="Normal 3 5 14 7" xfId="37609"/>
    <cellStyle name="Normal 3 5 15" xfId="4807"/>
    <cellStyle name="Normal 3 5 15 2" xfId="5850"/>
    <cellStyle name="Normal 3 5 15 3" xfId="17950"/>
    <cellStyle name="Normal 3 5 15 4" xfId="22993"/>
    <cellStyle name="Normal 3 5 15 5" xfId="27954"/>
    <cellStyle name="Normal 3 5 15 6" xfId="32812"/>
    <cellStyle name="Normal 3 5 15 7" xfId="37543"/>
    <cellStyle name="Normal 3 5 16" xfId="5027"/>
    <cellStyle name="Normal 3 5 16 2" xfId="6271"/>
    <cellStyle name="Normal 3 5 16 3" xfId="18375"/>
    <cellStyle name="Normal 3 5 16 4" xfId="23418"/>
    <cellStyle name="Normal 3 5 16 5" xfId="28379"/>
    <cellStyle name="Normal 3 5 16 6" xfId="33237"/>
    <cellStyle name="Normal 3 5 16 7" xfId="37968"/>
    <cellStyle name="Normal 3 5 17" xfId="5106"/>
    <cellStyle name="Normal 3 5 17 2" xfId="5987"/>
    <cellStyle name="Normal 3 5 17 3" xfId="18090"/>
    <cellStyle name="Normal 3 5 17 4" xfId="23133"/>
    <cellStyle name="Normal 3 5 17 5" xfId="28094"/>
    <cellStyle name="Normal 3 5 17 6" xfId="32952"/>
    <cellStyle name="Normal 3 5 17 7" xfId="37683"/>
    <cellStyle name="Normal 3 5 18" xfId="5062"/>
    <cellStyle name="Normal 3 5 18 2" xfId="5952"/>
    <cellStyle name="Normal 3 5 18 3" xfId="18054"/>
    <cellStyle name="Normal 3 5 18 4" xfId="23097"/>
    <cellStyle name="Normal 3 5 18 5" xfId="28058"/>
    <cellStyle name="Normal 3 5 18 6" xfId="32916"/>
    <cellStyle name="Normal 3 5 18 7" xfId="37647"/>
    <cellStyle name="Normal 3 5 19" xfId="5095"/>
    <cellStyle name="Normal 3 5 19 2" xfId="6726"/>
    <cellStyle name="Normal 3 5 19 3" xfId="18847"/>
    <cellStyle name="Normal 3 5 19 4" xfId="23890"/>
    <cellStyle name="Normal 3 5 19 5" xfId="28851"/>
    <cellStyle name="Normal 3 5 19 6" xfId="33709"/>
    <cellStyle name="Normal 3 5 19 7" xfId="38440"/>
    <cellStyle name="Normal 3 5 2" xfId="2469"/>
    <cellStyle name="Normal 3 5 2 2" xfId="13016"/>
    <cellStyle name="Normal 3 5 2 3" xfId="14106"/>
    <cellStyle name="Normal 3 5 2 4" xfId="17816"/>
    <cellStyle name="Normal 3 5 2 5" xfId="22876"/>
    <cellStyle name="Normal 3 5 2 6" xfId="27848"/>
    <cellStyle name="Normal 3 5 2 7" xfId="32723"/>
    <cellStyle name="Normal 3 5 20" xfId="5351"/>
    <cellStyle name="Normal 3 5 20 2" xfId="6800"/>
    <cellStyle name="Normal 3 5 20 3" xfId="18921"/>
    <cellStyle name="Normal 3 5 20 4" xfId="23964"/>
    <cellStyle name="Normal 3 5 20 5" xfId="28925"/>
    <cellStyle name="Normal 3 5 20 6" xfId="33783"/>
    <cellStyle name="Normal 3 5 20 7" xfId="38514"/>
    <cellStyle name="Normal 3 5 21" xfId="5479"/>
    <cellStyle name="Normal 3 5 21 2" xfId="6677"/>
    <cellStyle name="Normal 3 5 21 3" xfId="18797"/>
    <cellStyle name="Normal 3 5 21 4" xfId="23840"/>
    <cellStyle name="Normal 3 5 21 5" xfId="28801"/>
    <cellStyle name="Normal 3 5 21 6" xfId="33659"/>
    <cellStyle name="Normal 3 5 21 7" xfId="38390"/>
    <cellStyle name="Normal 3 5 22" xfId="5221"/>
    <cellStyle name="Normal 3 5 22 2" xfId="6794"/>
    <cellStyle name="Normal 3 5 22 3" xfId="18915"/>
    <cellStyle name="Normal 3 5 22 4" xfId="23958"/>
    <cellStyle name="Normal 3 5 22 5" xfId="28919"/>
    <cellStyle name="Normal 3 5 22 6" xfId="33777"/>
    <cellStyle name="Normal 3 5 22 7" xfId="38508"/>
    <cellStyle name="Normal 3 5 23" xfId="5339"/>
    <cellStyle name="Normal 3 5 23 2" xfId="7071"/>
    <cellStyle name="Normal 3 5 23 3" xfId="19215"/>
    <cellStyle name="Normal 3 5 23 4" xfId="24258"/>
    <cellStyle name="Normal 3 5 23 5" xfId="29219"/>
    <cellStyle name="Normal 3 5 23 6" xfId="34077"/>
    <cellStyle name="Normal 3 5 23 7" xfId="38808"/>
    <cellStyle name="Normal 3 5 24" xfId="5508"/>
    <cellStyle name="Normal 3 5 24 2" xfId="7233"/>
    <cellStyle name="Normal 3 5 24 3" xfId="19391"/>
    <cellStyle name="Normal 3 5 24 4" xfId="24434"/>
    <cellStyle name="Normal 3 5 24 5" xfId="29395"/>
    <cellStyle name="Normal 3 5 24 6" xfId="34253"/>
    <cellStyle name="Normal 3 5 24 7" xfId="38984"/>
    <cellStyle name="Normal 3 5 25" xfId="5419"/>
    <cellStyle name="Normal 3 5 25 2" xfId="6920"/>
    <cellStyle name="Normal 3 5 25 3" xfId="19048"/>
    <cellStyle name="Normal 3 5 25 4" xfId="24091"/>
    <cellStyle name="Normal 3 5 25 5" xfId="29052"/>
    <cellStyle name="Normal 3 5 25 6" xfId="33910"/>
    <cellStyle name="Normal 3 5 25 7" xfId="38641"/>
    <cellStyle name="Normal 3 5 26" xfId="5560"/>
    <cellStyle name="Normal 3 5 26 2" xfId="7214"/>
    <cellStyle name="Normal 3 5 26 3" xfId="19371"/>
    <cellStyle name="Normal 3 5 26 4" xfId="24414"/>
    <cellStyle name="Normal 3 5 26 5" xfId="29375"/>
    <cellStyle name="Normal 3 5 26 6" xfId="34233"/>
    <cellStyle name="Normal 3 5 26 7" xfId="38964"/>
    <cellStyle name="Normal 3 5 27" xfId="5415"/>
    <cellStyle name="Normal 3 5 27 2" xfId="6974"/>
    <cellStyle name="Normal 3 5 27 3" xfId="19106"/>
    <cellStyle name="Normal 3 5 27 4" xfId="24149"/>
    <cellStyle name="Normal 3 5 27 5" xfId="29110"/>
    <cellStyle name="Normal 3 5 27 6" xfId="33968"/>
    <cellStyle name="Normal 3 5 27 7" xfId="38699"/>
    <cellStyle name="Normal 3 5 28" xfId="5222"/>
    <cellStyle name="Normal 3 5 28 2" xfId="7190"/>
    <cellStyle name="Normal 3 5 28 3" xfId="19345"/>
    <cellStyle name="Normal 3 5 28 4" xfId="24388"/>
    <cellStyle name="Normal 3 5 28 5" xfId="29349"/>
    <cellStyle name="Normal 3 5 28 6" xfId="34207"/>
    <cellStyle name="Normal 3 5 28 7" xfId="38938"/>
    <cellStyle name="Normal 3 5 29" xfId="5764"/>
    <cellStyle name="Normal 3 5 29 2" xfId="14317"/>
    <cellStyle name="Normal 3 5 29 3" xfId="19192"/>
    <cellStyle name="Normal 3 5 29 4" xfId="24235"/>
    <cellStyle name="Normal 3 5 29 5" xfId="29196"/>
    <cellStyle name="Normal 3 5 29 6" xfId="34054"/>
    <cellStyle name="Normal 3 5 29 7" xfId="38785"/>
    <cellStyle name="Normal 3 5 3" xfId="4261"/>
    <cellStyle name="Normal 3 5 3 2" xfId="6069"/>
    <cellStyle name="Normal 3 5 3 3" xfId="18173"/>
    <cellStyle name="Normal 3 5 3 4" xfId="23216"/>
    <cellStyle name="Normal 3 5 3 5" xfId="28177"/>
    <cellStyle name="Normal 3 5 3 6" xfId="33035"/>
    <cellStyle name="Normal 3 5 3 7" xfId="37766"/>
    <cellStyle name="Normal 3 5 30" xfId="7346"/>
    <cellStyle name="Normal 3 5 30 2" xfId="14468"/>
    <cellStyle name="Normal 3 5 30 3" xfId="19519"/>
    <cellStyle name="Normal 3 5 30 4" xfId="24562"/>
    <cellStyle name="Normal 3 5 30 5" xfId="29523"/>
    <cellStyle name="Normal 3 5 30 6" xfId="34381"/>
    <cellStyle name="Normal 3 5 30 7" xfId="39112"/>
    <cellStyle name="Normal 3 5 31" xfId="6991"/>
    <cellStyle name="Normal 3 5 31 2" xfId="14287"/>
    <cellStyle name="Normal 3 5 31 3" xfId="19126"/>
    <cellStyle name="Normal 3 5 31 4" xfId="24169"/>
    <cellStyle name="Normal 3 5 31 5" xfId="29130"/>
    <cellStyle name="Normal 3 5 31 6" xfId="33988"/>
    <cellStyle name="Normal 3 5 31 7" xfId="38719"/>
    <cellStyle name="Normal 3 5 32" xfId="7196"/>
    <cellStyle name="Normal 3 5 32 2" xfId="14388"/>
    <cellStyle name="Normal 3 5 32 3" xfId="19352"/>
    <cellStyle name="Normal 3 5 32 4" xfId="24395"/>
    <cellStyle name="Normal 3 5 32 5" xfId="29356"/>
    <cellStyle name="Normal 3 5 32 6" xfId="34214"/>
    <cellStyle name="Normal 3 5 32 7" xfId="38945"/>
    <cellStyle name="Normal 3 5 33" xfId="7008"/>
    <cellStyle name="Normal 3 5 33 2" xfId="14298"/>
    <cellStyle name="Normal 3 5 33 3" xfId="19147"/>
    <cellStyle name="Normal 3 5 33 4" xfId="24190"/>
    <cellStyle name="Normal 3 5 33 5" xfId="29151"/>
    <cellStyle name="Normal 3 5 33 6" xfId="34009"/>
    <cellStyle name="Normal 3 5 33 7" xfId="38740"/>
    <cellStyle name="Normal 3 5 34" xfId="6964"/>
    <cellStyle name="Normal 3 5 34 2" xfId="14267"/>
    <cellStyle name="Normal 3 5 34 3" xfId="19096"/>
    <cellStyle name="Normal 3 5 34 4" xfId="24139"/>
    <cellStyle name="Normal 3 5 34 5" xfId="29100"/>
    <cellStyle name="Normal 3 5 34 6" xfId="33958"/>
    <cellStyle name="Normal 3 5 34 7" xfId="38689"/>
    <cellStyle name="Normal 3 5 35" xfId="7711"/>
    <cellStyle name="Normal 3 5 35 2" xfId="14791"/>
    <cellStyle name="Normal 3 5 35 3" xfId="19908"/>
    <cellStyle name="Normal 3 5 35 4" xfId="24951"/>
    <cellStyle name="Normal 3 5 35 5" xfId="29912"/>
    <cellStyle name="Normal 3 5 35 6" xfId="34770"/>
    <cellStyle name="Normal 3 5 35 7" xfId="39501"/>
    <cellStyle name="Normal 3 5 36" xfId="7904"/>
    <cellStyle name="Normal 3 5 36 2" xfId="14984"/>
    <cellStyle name="Normal 3 5 36 3" xfId="20101"/>
    <cellStyle name="Normal 3 5 36 4" xfId="25144"/>
    <cellStyle name="Normal 3 5 36 5" xfId="30105"/>
    <cellStyle name="Normal 3 5 36 6" xfId="34963"/>
    <cellStyle name="Normal 3 5 36 7" xfId="39694"/>
    <cellStyle name="Normal 3 5 37" xfId="7518"/>
    <cellStyle name="Normal 3 5 37 2" xfId="14596"/>
    <cellStyle name="Normal 3 5 37 3" xfId="19713"/>
    <cellStyle name="Normal 3 5 37 4" xfId="24756"/>
    <cellStyle name="Normal 3 5 37 5" xfId="29717"/>
    <cellStyle name="Normal 3 5 37 6" xfId="34575"/>
    <cellStyle name="Normal 3 5 37 7" xfId="39306"/>
    <cellStyle name="Normal 3 5 38" xfId="7882"/>
    <cellStyle name="Normal 3 5 38 2" xfId="14962"/>
    <cellStyle name="Normal 3 5 38 3" xfId="20079"/>
    <cellStyle name="Normal 3 5 38 4" xfId="25122"/>
    <cellStyle name="Normal 3 5 38 5" xfId="30083"/>
    <cellStyle name="Normal 3 5 38 6" xfId="34941"/>
    <cellStyle name="Normal 3 5 38 7" xfId="39672"/>
    <cellStyle name="Normal 3 5 39" xfId="7586"/>
    <cellStyle name="Normal 3 5 39 2" xfId="14666"/>
    <cellStyle name="Normal 3 5 39 3" xfId="19783"/>
    <cellStyle name="Normal 3 5 39 4" xfId="24826"/>
    <cellStyle name="Normal 3 5 39 5" xfId="29787"/>
    <cellStyle name="Normal 3 5 39 6" xfId="34645"/>
    <cellStyle name="Normal 3 5 39 7" xfId="39376"/>
    <cellStyle name="Normal 3 5 4" xfId="4311"/>
    <cellStyle name="Normal 3 5 4 2" xfId="6282"/>
    <cellStyle name="Normal 3 5 4 3" xfId="18388"/>
    <cellStyle name="Normal 3 5 4 4" xfId="23431"/>
    <cellStyle name="Normal 3 5 4 5" xfId="28392"/>
    <cellStyle name="Normal 3 5 4 6" xfId="33250"/>
    <cellStyle name="Normal 3 5 4 7" xfId="37981"/>
    <cellStyle name="Normal 3 5 40" xfId="7851"/>
    <cellStyle name="Normal 3 5 40 2" xfId="14931"/>
    <cellStyle name="Normal 3 5 40 3" xfId="20048"/>
    <cellStyle name="Normal 3 5 40 4" xfId="25091"/>
    <cellStyle name="Normal 3 5 40 5" xfId="30052"/>
    <cellStyle name="Normal 3 5 40 6" xfId="34910"/>
    <cellStyle name="Normal 3 5 40 7" xfId="39641"/>
    <cellStyle name="Normal 3 5 41" xfId="7682"/>
    <cellStyle name="Normal 3 5 41 2" xfId="14762"/>
    <cellStyle name="Normal 3 5 41 3" xfId="19879"/>
    <cellStyle name="Normal 3 5 41 4" xfId="24922"/>
    <cellStyle name="Normal 3 5 41 5" xfId="29883"/>
    <cellStyle name="Normal 3 5 41 6" xfId="34741"/>
    <cellStyle name="Normal 3 5 41 7" xfId="39472"/>
    <cellStyle name="Normal 3 5 42" xfId="8065"/>
    <cellStyle name="Normal 3 5 42 2" xfId="15145"/>
    <cellStyle name="Normal 3 5 42 3" xfId="20262"/>
    <cellStyle name="Normal 3 5 42 4" xfId="25305"/>
    <cellStyle name="Normal 3 5 42 5" xfId="30266"/>
    <cellStyle name="Normal 3 5 42 6" xfId="35124"/>
    <cellStyle name="Normal 3 5 42 7" xfId="39855"/>
    <cellStyle name="Normal 3 5 43" xfId="7611"/>
    <cellStyle name="Normal 3 5 43 2" xfId="14691"/>
    <cellStyle name="Normal 3 5 43 3" xfId="19808"/>
    <cellStyle name="Normal 3 5 43 4" xfId="24851"/>
    <cellStyle name="Normal 3 5 43 5" xfId="29812"/>
    <cellStyle name="Normal 3 5 43 6" xfId="34670"/>
    <cellStyle name="Normal 3 5 43 7" xfId="39401"/>
    <cellStyle name="Normal 3 5 44" xfId="7858"/>
    <cellStyle name="Normal 3 5 44 2" xfId="14938"/>
    <cellStyle name="Normal 3 5 44 3" xfId="20055"/>
    <cellStyle name="Normal 3 5 44 4" xfId="25098"/>
    <cellStyle name="Normal 3 5 44 5" xfId="30059"/>
    <cellStyle name="Normal 3 5 44 6" xfId="34917"/>
    <cellStyle name="Normal 3 5 44 7" xfId="39648"/>
    <cellStyle name="Normal 3 5 45" xfId="7633"/>
    <cellStyle name="Normal 3 5 45 2" xfId="14713"/>
    <cellStyle name="Normal 3 5 45 3" xfId="19830"/>
    <cellStyle name="Normal 3 5 45 4" xfId="24873"/>
    <cellStyle name="Normal 3 5 45 5" xfId="29834"/>
    <cellStyle name="Normal 3 5 45 6" xfId="34692"/>
    <cellStyle name="Normal 3 5 45 7" xfId="39423"/>
    <cellStyle name="Normal 3 5 46" xfId="7571"/>
    <cellStyle name="Normal 3 5 46 2" xfId="14651"/>
    <cellStyle name="Normal 3 5 46 3" xfId="19768"/>
    <cellStyle name="Normal 3 5 46 4" xfId="24811"/>
    <cellStyle name="Normal 3 5 46 5" xfId="29772"/>
    <cellStyle name="Normal 3 5 46 6" xfId="34630"/>
    <cellStyle name="Normal 3 5 46 7" xfId="39361"/>
    <cellStyle name="Normal 3 5 47" xfId="7512"/>
    <cellStyle name="Normal 3 5 47 2" xfId="14589"/>
    <cellStyle name="Normal 3 5 47 3" xfId="19706"/>
    <cellStyle name="Normal 3 5 47 4" xfId="24749"/>
    <cellStyle name="Normal 3 5 47 5" xfId="29710"/>
    <cellStyle name="Normal 3 5 47 6" xfId="34568"/>
    <cellStyle name="Normal 3 5 47 7" xfId="39299"/>
    <cellStyle name="Normal 3 5 48" xfId="7891"/>
    <cellStyle name="Normal 3 5 48 2" xfId="14971"/>
    <cellStyle name="Normal 3 5 48 3" xfId="20088"/>
    <cellStyle name="Normal 3 5 48 4" xfId="25131"/>
    <cellStyle name="Normal 3 5 48 5" xfId="30092"/>
    <cellStyle name="Normal 3 5 48 6" xfId="34950"/>
    <cellStyle name="Normal 3 5 48 7" xfId="39681"/>
    <cellStyle name="Normal 3 5 49" xfId="8492"/>
    <cellStyle name="Normal 3 5 49 2" xfId="15573"/>
    <cellStyle name="Normal 3 5 49 3" xfId="20690"/>
    <cellStyle name="Normal 3 5 49 4" xfId="25733"/>
    <cellStyle name="Normal 3 5 49 5" xfId="30694"/>
    <cellStyle name="Normal 3 5 49 6" xfId="35552"/>
    <cellStyle name="Normal 3 5 49 7" xfId="40283"/>
    <cellStyle name="Normal 3 5 5" xfId="4268"/>
    <cellStyle name="Normal 3 5 5 2" xfId="5856"/>
    <cellStyle name="Normal 3 5 5 3" xfId="17956"/>
    <cellStyle name="Normal 3 5 5 4" xfId="22999"/>
    <cellStyle name="Normal 3 5 5 5" xfId="27960"/>
    <cellStyle name="Normal 3 5 5 6" xfId="32818"/>
    <cellStyle name="Normal 3 5 5 7" xfId="37549"/>
    <cellStyle name="Normal 3 5 50" xfId="8704"/>
    <cellStyle name="Normal 3 5 50 2" xfId="15785"/>
    <cellStyle name="Normal 3 5 50 3" xfId="20902"/>
    <cellStyle name="Normal 3 5 50 4" xfId="25945"/>
    <cellStyle name="Normal 3 5 50 5" xfId="30906"/>
    <cellStyle name="Normal 3 5 50 6" xfId="35764"/>
    <cellStyle name="Normal 3 5 50 7" xfId="40495"/>
    <cellStyle name="Normal 3 5 51" xfId="8297"/>
    <cellStyle name="Normal 3 5 51 2" xfId="15378"/>
    <cellStyle name="Normal 3 5 51 3" xfId="20495"/>
    <cellStyle name="Normal 3 5 51 4" xfId="25538"/>
    <cellStyle name="Normal 3 5 51 5" xfId="30499"/>
    <cellStyle name="Normal 3 5 51 6" xfId="35357"/>
    <cellStyle name="Normal 3 5 51 7" xfId="40088"/>
    <cellStyle name="Normal 3 5 52" xfId="8685"/>
    <cellStyle name="Normal 3 5 52 2" xfId="15766"/>
    <cellStyle name="Normal 3 5 52 3" xfId="20883"/>
    <cellStyle name="Normal 3 5 52 4" xfId="25926"/>
    <cellStyle name="Normal 3 5 52 5" xfId="30887"/>
    <cellStyle name="Normal 3 5 52 6" xfId="35745"/>
    <cellStyle name="Normal 3 5 52 7" xfId="40476"/>
    <cellStyle name="Normal 3 5 53" xfId="8363"/>
    <cellStyle name="Normal 3 5 53 2" xfId="15444"/>
    <cellStyle name="Normal 3 5 53 3" xfId="20561"/>
    <cellStyle name="Normal 3 5 53 4" xfId="25604"/>
    <cellStyle name="Normal 3 5 53 5" xfId="30565"/>
    <cellStyle name="Normal 3 5 53 6" xfId="35423"/>
    <cellStyle name="Normal 3 5 53 7" xfId="40154"/>
    <cellStyle name="Normal 3 5 54" xfId="8648"/>
    <cellStyle name="Normal 3 5 54 2" xfId="15729"/>
    <cellStyle name="Normal 3 5 54 3" xfId="20846"/>
    <cellStyle name="Normal 3 5 54 4" xfId="25889"/>
    <cellStyle name="Normal 3 5 54 5" xfId="30850"/>
    <cellStyle name="Normal 3 5 54 6" xfId="35708"/>
    <cellStyle name="Normal 3 5 54 7" xfId="40439"/>
    <cellStyle name="Normal 3 5 55" xfId="8462"/>
    <cellStyle name="Normal 3 5 55 2" xfId="15543"/>
    <cellStyle name="Normal 3 5 55 3" xfId="20660"/>
    <cellStyle name="Normal 3 5 55 4" xfId="25703"/>
    <cellStyle name="Normal 3 5 55 5" xfId="30664"/>
    <cellStyle name="Normal 3 5 55 6" xfId="35522"/>
    <cellStyle name="Normal 3 5 55 7" xfId="40253"/>
    <cellStyle name="Normal 3 5 56" xfId="8472"/>
    <cellStyle name="Normal 3 5 56 2" xfId="15553"/>
    <cellStyle name="Normal 3 5 56 3" xfId="20670"/>
    <cellStyle name="Normal 3 5 56 4" xfId="25713"/>
    <cellStyle name="Normal 3 5 56 5" xfId="30674"/>
    <cellStyle name="Normal 3 5 56 6" xfId="35532"/>
    <cellStyle name="Normal 3 5 56 7" xfId="40263"/>
    <cellStyle name="Normal 3 5 57" xfId="8374"/>
    <cellStyle name="Normal 3 5 57 2" xfId="15455"/>
    <cellStyle name="Normal 3 5 57 3" xfId="20572"/>
    <cellStyle name="Normal 3 5 57 4" xfId="25615"/>
    <cellStyle name="Normal 3 5 57 5" xfId="30576"/>
    <cellStyle name="Normal 3 5 57 6" xfId="35434"/>
    <cellStyle name="Normal 3 5 57 7" xfId="40165"/>
    <cellStyle name="Normal 3 5 58" xfId="8457"/>
    <cellStyle name="Normal 3 5 58 2" xfId="15538"/>
    <cellStyle name="Normal 3 5 58 3" xfId="20655"/>
    <cellStyle name="Normal 3 5 58 4" xfId="25698"/>
    <cellStyle name="Normal 3 5 58 5" xfId="30659"/>
    <cellStyle name="Normal 3 5 58 6" xfId="35517"/>
    <cellStyle name="Normal 3 5 58 7" xfId="40248"/>
    <cellStyle name="Normal 3 5 59" xfId="8833"/>
    <cellStyle name="Normal 3 5 59 2" xfId="15914"/>
    <cellStyle name="Normal 3 5 59 3" xfId="21031"/>
    <cellStyle name="Normal 3 5 59 4" xfId="26074"/>
    <cellStyle name="Normal 3 5 59 5" xfId="31035"/>
    <cellStyle name="Normal 3 5 59 6" xfId="35893"/>
    <cellStyle name="Normal 3 5 59 7" xfId="40624"/>
    <cellStyle name="Normal 3 5 6" xfId="4396"/>
    <cellStyle name="Normal 3 5 6 2" xfId="6261"/>
    <cellStyle name="Normal 3 5 6 3" xfId="18365"/>
    <cellStyle name="Normal 3 5 6 4" xfId="23408"/>
    <cellStyle name="Normal 3 5 6 5" xfId="28369"/>
    <cellStyle name="Normal 3 5 6 6" xfId="33227"/>
    <cellStyle name="Normal 3 5 6 7" xfId="37958"/>
    <cellStyle name="Normal 3 5 60" xfId="8955"/>
    <cellStyle name="Normal 3 5 60 2" xfId="16036"/>
    <cellStyle name="Normal 3 5 60 3" xfId="21153"/>
    <cellStyle name="Normal 3 5 60 4" xfId="26196"/>
    <cellStyle name="Normal 3 5 60 5" xfId="31157"/>
    <cellStyle name="Normal 3 5 60 6" xfId="36015"/>
    <cellStyle name="Normal 3 5 60 7" xfId="40746"/>
    <cellStyle name="Normal 3 5 61" xfId="8968"/>
    <cellStyle name="Normal 3 5 61 2" xfId="16049"/>
    <cellStyle name="Normal 3 5 61 3" xfId="21166"/>
    <cellStyle name="Normal 3 5 61 4" xfId="26209"/>
    <cellStyle name="Normal 3 5 61 5" xfId="31170"/>
    <cellStyle name="Normal 3 5 61 6" xfId="36028"/>
    <cellStyle name="Normal 3 5 61 7" xfId="40759"/>
    <cellStyle name="Normal 3 5 62" xfId="8366"/>
    <cellStyle name="Normal 3 5 62 2" xfId="15447"/>
    <cellStyle name="Normal 3 5 62 3" xfId="20564"/>
    <cellStyle name="Normal 3 5 62 4" xfId="25607"/>
    <cellStyle name="Normal 3 5 62 5" xfId="30568"/>
    <cellStyle name="Normal 3 5 62 6" xfId="35426"/>
    <cellStyle name="Normal 3 5 62 7" xfId="40157"/>
    <cellStyle name="Normal 3 5 63" xfId="8651"/>
    <cellStyle name="Normal 3 5 63 2" xfId="15732"/>
    <cellStyle name="Normal 3 5 63 3" xfId="20849"/>
    <cellStyle name="Normal 3 5 63 4" xfId="25892"/>
    <cellStyle name="Normal 3 5 63 5" xfId="30853"/>
    <cellStyle name="Normal 3 5 63 6" xfId="35711"/>
    <cellStyle name="Normal 3 5 63 7" xfId="40442"/>
    <cellStyle name="Normal 3 5 64" xfId="9275"/>
    <cellStyle name="Normal 3 5 64 2" xfId="16356"/>
    <cellStyle name="Normal 3 5 64 3" xfId="21473"/>
    <cellStyle name="Normal 3 5 64 4" xfId="26516"/>
    <cellStyle name="Normal 3 5 64 5" xfId="31477"/>
    <cellStyle name="Normal 3 5 64 6" xfId="36335"/>
    <cellStyle name="Normal 3 5 64 7" xfId="41066"/>
    <cellStyle name="Normal 3 5 65" xfId="9451"/>
    <cellStyle name="Normal 3 5 65 2" xfId="16532"/>
    <cellStyle name="Normal 3 5 65 3" xfId="21649"/>
    <cellStyle name="Normal 3 5 65 4" xfId="26692"/>
    <cellStyle name="Normal 3 5 65 5" xfId="31653"/>
    <cellStyle name="Normal 3 5 65 6" xfId="36511"/>
    <cellStyle name="Normal 3 5 65 7" xfId="41242"/>
    <cellStyle name="Normal 3 5 66" xfId="9108"/>
    <cellStyle name="Normal 3 5 66 2" xfId="16189"/>
    <cellStyle name="Normal 3 5 66 3" xfId="21306"/>
    <cellStyle name="Normal 3 5 66 4" xfId="26349"/>
    <cellStyle name="Normal 3 5 66 5" xfId="31310"/>
    <cellStyle name="Normal 3 5 66 6" xfId="36168"/>
    <cellStyle name="Normal 3 5 66 7" xfId="40899"/>
    <cellStyle name="Normal 3 5 67" xfId="9431"/>
    <cellStyle name="Normal 3 5 67 2" xfId="16512"/>
    <cellStyle name="Normal 3 5 67 3" xfId="21629"/>
    <cellStyle name="Normal 3 5 67 4" xfId="26672"/>
    <cellStyle name="Normal 3 5 67 5" xfId="31633"/>
    <cellStyle name="Normal 3 5 67 6" xfId="36491"/>
    <cellStyle name="Normal 3 5 67 7" xfId="41222"/>
    <cellStyle name="Normal 3 5 68" xfId="9166"/>
    <cellStyle name="Normal 3 5 68 2" xfId="16247"/>
    <cellStyle name="Normal 3 5 68 3" xfId="21364"/>
    <cellStyle name="Normal 3 5 68 4" xfId="26407"/>
    <cellStyle name="Normal 3 5 68 5" xfId="31368"/>
    <cellStyle name="Normal 3 5 68 6" xfId="36226"/>
    <cellStyle name="Normal 3 5 68 7" xfId="40957"/>
    <cellStyle name="Normal 3 5 69" xfId="9405"/>
    <cellStyle name="Normal 3 5 69 2" xfId="16486"/>
    <cellStyle name="Normal 3 5 69 3" xfId="21603"/>
    <cellStyle name="Normal 3 5 69 4" xfId="26646"/>
    <cellStyle name="Normal 3 5 69 5" xfId="31607"/>
    <cellStyle name="Normal 3 5 69 6" xfId="36465"/>
    <cellStyle name="Normal 3 5 69 7" xfId="41196"/>
    <cellStyle name="Normal 3 5 7" xfId="4452"/>
    <cellStyle name="Normal 3 5 7 2" xfId="5929"/>
    <cellStyle name="Normal 3 5 7 3" xfId="18031"/>
    <cellStyle name="Normal 3 5 7 4" xfId="23074"/>
    <cellStyle name="Normal 3 5 7 5" xfId="28035"/>
    <cellStyle name="Normal 3 5 7 6" xfId="32893"/>
    <cellStyle name="Normal 3 5 7 7" xfId="37624"/>
    <cellStyle name="Normal 3 5 70" xfId="9252"/>
    <cellStyle name="Normal 3 5 70 2" xfId="16333"/>
    <cellStyle name="Normal 3 5 70 3" xfId="21450"/>
    <cellStyle name="Normal 3 5 70 4" xfId="26493"/>
    <cellStyle name="Normal 3 5 70 5" xfId="31454"/>
    <cellStyle name="Normal 3 5 70 6" xfId="36312"/>
    <cellStyle name="Normal 3 5 70 7" xfId="41043"/>
    <cellStyle name="Normal 3 5 71" xfId="9579"/>
    <cellStyle name="Normal 3 5 71 2" xfId="16660"/>
    <cellStyle name="Normal 3 5 71 3" xfId="21777"/>
    <cellStyle name="Normal 3 5 71 4" xfId="26820"/>
    <cellStyle name="Normal 3 5 71 5" xfId="31781"/>
    <cellStyle name="Normal 3 5 71 6" xfId="36639"/>
    <cellStyle name="Normal 3 5 71 7" xfId="41370"/>
    <cellStyle name="Normal 3 5 72" xfId="9186"/>
    <cellStyle name="Normal 3 5 72 2" xfId="16267"/>
    <cellStyle name="Normal 3 5 72 3" xfId="21384"/>
    <cellStyle name="Normal 3 5 72 4" xfId="26427"/>
    <cellStyle name="Normal 3 5 72 5" xfId="31388"/>
    <cellStyle name="Normal 3 5 72 6" xfId="36246"/>
    <cellStyle name="Normal 3 5 72 7" xfId="40977"/>
    <cellStyle name="Normal 3 5 73" xfId="9412"/>
    <cellStyle name="Normal 3 5 73 2" xfId="16493"/>
    <cellStyle name="Normal 3 5 73 3" xfId="21610"/>
    <cellStyle name="Normal 3 5 73 4" xfId="26653"/>
    <cellStyle name="Normal 3 5 73 5" xfId="31614"/>
    <cellStyle name="Normal 3 5 73 6" xfId="36472"/>
    <cellStyle name="Normal 3 5 73 7" xfId="41203"/>
    <cellStyle name="Normal 3 5 74" xfId="9207"/>
    <cellStyle name="Normal 3 5 74 2" xfId="16288"/>
    <cellStyle name="Normal 3 5 74 3" xfId="21405"/>
    <cellStyle name="Normal 3 5 74 4" xfId="26448"/>
    <cellStyle name="Normal 3 5 74 5" xfId="31409"/>
    <cellStyle name="Normal 3 5 74 6" xfId="36267"/>
    <cellStyle name="Normal 3 5 74 7" xfId="40998"/>
    <cellStyle name="Normal 3 5 75" xfId="9156"/>
    <cellStyle name="Normal 3 5 75 2" xfId="16237"/>
    <cellStyle name="Normal 3 5 75 3" xfId="21354"/>
    <cellStyle name="Normal 3 5 75 4" xfId="26397"/>
    <cellStyle name="Normal 3 5 75 5" xfId="31358"/>
    <cellStyle name="Normal 3 5 75 6" xfId="36216"/>
    <cellStyle name="Normal 3 5 75 7" xfId="40947"/>
    <cellStyle name="Normal 3 5 76" xfId="9824"/>
    <cellStyle name="Normal 3 5 76 2" xfId="16905"/>
    <cellStyle name="Normal 3 5 76 3" xfId="22022"/>
    <cellStyle name="Normal 3 5 76 4" xfId="27065"/>
    <cellStyle name="Normal 3 5 76 5" xfId="32026"/>
    <cellStyle name="Normal 3 5 76 6" xfId="36884"/>
    <cellStyle name="Normal 3 5 76 7" xfId="41615"/>
    <cellStyle name="Normal 3 5 77" xfId="9927"/>
    <cellStyle name="Normal 3 5 77 2" xfId="17008"/>
    <cellStyle name="Normal 3 5 77 3" xfId="22125"/>
    <cellStyle name="Normal 3 5 77 4" xfId="27168"/>
    <cellStyle name="Normal 3 5 77 5" xfId="32129"/>
    <cellStyle name="Normal 3 5 77 6" xfId="36987"/>
    <cellStyle name="Normal 3 5 77 7" xfId="41718"/>
    <cellStyle name="Normal 3 5 78" xfId="9744"/>
    <cellStyle name="Normal 3 5 78 2" xfId="16825"/>
    <cellStyle name="Normal 3 5 78 3" xfId="21942"/>
    <cellStyle name="Normal 3 5 78 4" xfId="26985"/>
    <cellStyle name="Normal 3 5 78 5" xfId="31946"/>
    <cellStyle name="Normal 3 5 78 6" xfId="36804"/>
    <cellStyle name="Normal 3 5 78 7" xfId="41535"/>
    <cellStyle name="Normal 3 5 79" xfId="9916"/>
    <cellStyle name="Normal 3 5 79 2" xfId="16997"/>
    <cellStyle name="Normal 3 5 79 3" xfId="22114"/>
    <cellStyle name="Normal 3 5 79 4" xfId="27157"/>
    <cellStyle name="Normal 3 5 79 5" xfId="32118"/>
    <cellStyle name="Normal 3 5 79 6" xfId="36976"/>
    <cellStyle name="Normal 3 5 79 7" xfId="41707"/>
    <cellStyle name="Normal 3 5 8" xfId="4540"/>
    <cellStyle name="Normal 3 5 8 2" xfId="6225"/>
    <cellStyle name="Normal 3 5 8 3" xfId="18329"/>
    <cellStyle name="Normal 3 5 8 4" xfId="23372"/>
    <cellStyle name="Normal 3 5 8 5" xfId="28333"/>
    <cellStyle name="Normal 3 5 8 6" xfId="33191"/>
    <cellStyle name="Normal 3 5 8 7" xfId="37922"/>
    <cellStyle name="Normal 3 5 80" xfId="9772"/>
    <cellStyle name="Normal 3 5 80 2" xfId="16853"/>
    <cellStyle name="Normal 3 5 80 3" xfId="21970"/>
    <cellStyle name="Normal 3 5 80 4" xfId="27013"/>
    <cellStyle name="Normal 3 5 80 5" xfId="31974"/>
    <cellStyle name="Normal 3 5 80 6" xfId="36832"/>
    <cellStyle name="Normal 3 5 80 7" xfId="41563"/>
    <cellStyle name="Normal 3 5 81" xfId="9900"/>
    <cellStyle name="Normal 3 5 81 2" xfId="16981"/>
    <cellStyle name="Normal 3 5 81 3" xfId="22098"/>
    <cellStyle name="Normal 3 5 81 4" xfId="27141"/>
    <cellStyle name="Normal 3 5 81 5" xfId="32102"/>
    <cellStyle name="Normal 3 5 81 6" xfId="36960"/>
    <cellStyle name="Normal 3 5 81 7" xfId="41691"/>
    <cellStyle name="Normal 3 5 82" xfId="10154"/>
    <cellStyle name="Normal 3 5 82 2" xfId="17235"/>
    <cellStyle name="Normal 3 5 82 3" xfId="22352"/>
    <cellStyle name="Normal 3 5 82 4" xfId="27395"/>
    <cellStyle name="Normal 3 5 82 5" xfId="32356"/>
    <cellStyle name="Normal 3 5 82 6" xfId="37214"/>
    <cellStyle name="Normal 3 5 82 7" xfId="41945"/>
    <cellStyle name="Normal 3 5 83" xfId="10257"/>
    <cellStyle name="Normal 3 5 83 2" xfId="17338"/>
    <cellStyle name="Normal 3 5 83 3" xfId="22455"/>
    <cellStyle name="Normal 3 5 83 4" xfId="27498"/>
    <cellStyle name="Normal 3 5 83 5" xfId="32459"/>
    <cellStyle name="Normal 3 5 83 6" xfId="37317"/>
    <cellStyle name="Normal 3 5 83 7" xfId="42048"/>
    <cellStyle name="Normal 3 5 84" xfId="10074"/>
    <cellStyle name="Normal 3 5 84 2" xfId="17155"/>
    <cellStyle name="Normal 3 5 84 3" xfId="22272"/>
    <cellStyle name="Normal 3 5 84 4" xfId="27315"/>
    <cellStyle name="Normal 3 5 84 5" xfId="32276"/>
    <cellStyle name="Normal 3 5 84 6" xfId="37134"/>
    <cellStyle name="Normal 3 5 84 7" xfId="41865"/>
    <cellStyle name="Normal 3 5 85" xfId="10246"/>
    <cellStyle name="Normal 3 5 85 2" xfId="17327"/>
    <cellStyle name="Normal 3 5 85 3" xfId="22444"/>
    <cellStyle name="Normal 3 5 85 4" xfId="27487"/>
    <cellStyle name="Normal 3 5 85 5" xfId="32448"/>
    <cellStyle name="Normal 3 5 85 6" xfId="37306"/>
    <cellStyle name="Normal 3 5 85 7" xfId="42037"/>
    <cellStyle name="Normal 3 5 86" xfId="10102"/>
    <cellStyle name="Normal 3 5 86 2" xfId="17183"/>
    <cellStyle name="Normal 3 5 86 3" xfId="22300"/>
    <cellStyle name="Normal 3 5 86 4" xfId="27343"/>
    <cellStyle name="Normal 3 5 86 5" xfId="32304"/>
    <cellStyle name="Normal 3 5 86 6" xfId="37162"/>
    <cellStyle name="Normal 3 5 86 7" xfId="41893"/>
    <cellStyle name="Normal 3 5 87" xfId="10230"/>
    <cellStyle name="Normal 3 5 87 2" xfId="17311"/>
    <cellStyle name="Normal 3 5 87 3" xfId="22428"/>
    <cellStyle name="Normal 3 5 87 4" xfId="27471"/>
    <cellStyle name="Normal 3 5 87 5" xfId="32432"/>
    <cellStyle name="Normal 3 5 87 6" xfId="37290"/>
    <cellStyle name="Normal 3 5 87 7" xfId="42021"/>
    <cellStyle name="Normal 3 5 88" xfId="12495"/>
    <cellStyle name="Normal 3 5 89" xfId="12889"/>
    <cellStyle name="Normal 3 5 9" xfId="4600"/>
    <cellStyle name="Normal 3 5 9 2" xfId="6036"/>
    <cellStyle name="Normal 3 5 9 3" xfId="18140"/>
    <cellStyle name="Normal 3 5 9 4" xfId="23183"/>
    <cellStyle name="Normal 3 5 9 5" xfId="28144"/>
    <cellStyle name="Normal 3 5 9 6" xfId="33002"/>
    <cellStyle name="Normal 3 5 9 7" xfId="37733"/>
    <cellStyle name="Normal 3 5 90" xfId="13952"/>
    <cellStyle name="Normal 3 5 91" xfId="17680"/>
    <cellStyle name="Normal 3 5 92" xfId="22759"/>
    <cellStyle name="Normal 3 5 93" xfId="27762"/>
    <cellStyle name="Normal 3 6" xfId="2463"/>
    <cellStyle name="Normal 3 6 2" xfId="13010"/>
    <cellStyle name="Normal 3 6 3" xfId="13937"/>
    <cellStyle name="Normal 3 6 4" xfId="17666"/>
    <cellStyle name="Normal 3 6 5" xfId="22748"/>
    <cellStyle name="Normal 3 6 6" xfId="27752"/>
    <cellStyle name="Normal 3 6 7" xfId="32660"/>
    <cellStyle name="Normal 3 7" xfId="10395"/>
    <cellStyle name="Normal 3 8" xfId="10708"/>
    <cellStyle name="Normal 3 9" xfId="10992"/>
    <cellStyle name="Normal 30" xfId="239"/>
    <cellStyle name="Normal 30 10" xfId="22868"/>
    <cellStyle name="Normal 30 2" xfId="10450"/>
    <cellStyle name="Normal 30 3" xfId="10763"/>
    <cellStyle name="Normal 30 4" xfId="11047"/>
    <cellStyle name="Normal 30 5" xfId="11439"/>
    <cellStyle name="Normal 30 6" xfId="12818"/>
    <cellStyle name="Normal 30 7" xfId="11889"/>
    <cellStyle name="Normal 30 8" xfId="14092"/>
    <cellStyle name="Normal 30 9" xfId="17805"/>
    <cellStyle name="Normal 31" xfId="241"/>
    <cellStyle name="Normal 31 10" xfId="22925"/>
    <cellStyle name="Normal 31 2" xfId="10452"/>
    <cellStyle name="Normal 31 3" xfId="10765"/>
    <cellStyle name="Normal 31 4" xfId="11049"/>
    <cellStyle name="Normal 31 5" xfId="11441"/>
    <cellStyle name="Normal 31 6" xfId="13187"/>
    <cellStyle name="Normal 31 7" xfId="11904"/>
    <cellStyle name="Normal 31 8" xfId="14179"/>
    <cellStyle name="Normal 31 9" xfId="17881"/>
    <cellStyle name="Normal 32" xfId="245"/>
    <cellStyle name="Normal 32 10" xfId="22828"/>
    <cellStyle name="Normal 32 2" xfId="10456"/>
    <cellStyle name="Normal 32 3" xfId="10769"/>
    <cellStyle name="Normal 32 4" xfId="11053"/>
    <cellStyle name="Normal 32 5" xfId="11445"/>
    <cellStyle name="Normal 32 6" xfId="12163"/>
    <cellStyle name="Normal 32 7" xfId="12149"/>
    <cellStyle name="Normal 32 8" xfId="14043"/>
    <cellStyle name="Normal 32 9" xfId="17760"/>
    <cellStyle name="Normal 33" xfId="247"/>
    <cellStyle name="Normal 33 10" xfId="27744"/>
    <cellStyle name="Normal 33 2" xfId="10458"/>
    <cellStyle name="Normal 33 3" xfId="10771"/>
    <cellStyle name="Normal 33 4" xfId="11055"/>
    <cellStyle name="Normal 33 5" xfId="11447"/>
    <cellStyle name="Normal 33 6" xfId="12150"/>
    <cellStyle name="Normal 33 7" xfId="13926"/>
    <cellStyle name="Normal 33 8" xfId="17657"/>
    <cellStyle name="Normal 33 9" xfId="22739"/>
    <cellStyle name="Normal 34" xfId="248"/>
    <cellStyle name="Normal 34 10" xfId="27623"/>
    <cellStyle name="Normal 34 2" xfId="10459"/>
    <cellStyle name="Normal 34 3" xfId="10772"/>
    <cellStyle name="Normal 34 4" xfId="11056"/>
    <cellStyle name="Normal 34 5" xfId="11448"/>
    <cellStyle name="Normal 34 6" xfId="12084"/>
    <cellStyle name="Normal 34 7" xfId="13713"/>
    <cellStyle name="Normal 34 8" xfId="17464"/>
    <cellStyle name="Normal 34 9" xfId="22580"/>
    <cellStyle name="Normal 35" xfId="250"/>
    <cellStyle name="Normal 35 10" xfId="12619"/>
    <cellStyle name="Normal 35 2" xfId="10461"/>
    <cellStyle name="Normal 35 3" xfId="10774"/>
    <cellStyle name="Normal 35 4" xfId="11058"/>
    <cellStyle name="Normal 35 5" xfId="11450"/>
    <cellStyle name="Normal 35 6" xfId="12045"/>
    <cellStyle name="Normal 35 7" xfId="12566"/>
    <cellStyle name="Normal 35 8" xfId="12335"/>
    <cellStyle name="Normal 35 9" xfId="12627"/>
    <cellStyle name="Normal 36" xfId="282"/>
    <cellStyle name="Normal 36 10" xfId="13987"/>
    <cellStyle name="Normal 36 2" xfId="10493"/>
    <cellStyle name="Normal 36 3" xfId="10806"/>
    <cellStyle name="Normal 36 4" xfId="11090"/>
    <cellStyle name="Normal 36 5" xfId="11482"/>
    <cellStyle name="Normal 36 6" xfId="12621"/>
    <cellStyle name="Normal 36 7" xfId="12601"/>
    <cellStyle name="Normal 36 8" xfId="11639"/>
    <cellStyle name="Normal 36 9" xfId="11810"/>
    <cellStyle name="Normal 37" xfId="253"/>
    <cellStyle name="Normal 37 10" xfId="22781"/>
    <cellStyle name="Normal 37 2" xfId="10464"/>
    <cellStyle name="Normal 37 3" xfId="10777"/>
    <cellStyle name="Normal 37 4" xfId="11061"/>
    <cellStyle name="Normal 37 5" xfId="11453"/>
    <cellStyle name="Normal 37 6" xfId="11937"/>
    <cellStyle name="Normal 37 7" xfId="10687"/>
    <cellStyle name="Normal 37 8" xfId="13982"/>
    <cellStyle name="Normal 37 9" xfId="17705"/>
    <cellStyle name="Normal 38" xfId="255"/>
    <cellStyle name="Normal 38 10" xfId="12405"/>
    <cellStyle name="Normal 38 2" xfId="10466"/>
    <cellStyle name="Normal 38 3" xfId="10779"/>
    <cellStyle name="Normal 38 4" xfId="11063"/>
    <cellStyle name="Normal 38 5" xfId="11455"/>
    <cellStyle name="Normal 38 6" xfId="11891"/>
    <cellStyle name="Normal 38 7" xfId="12759"/>
    <cellStyle name="Normal 38 8" xfId="12181"/>
    <cellStyle name="Normal 38 9" xfId="13207"/>
    <cellStyle name="Normal 39" xfId="257"/>
    <cellStyle name="Normal 39 10" xfId="22767"/>
    <cellStyle name="Normal 39 2" xfId="10468"/>
    <cellStyle name="Normal 39 3" xfId="10781"/>
    <cellStyle name="Normal 39 4" xfId="11065"/>
    <cellStyle name="Normal 39 5" xfId="11457"/>
    <cellStyle name="Normal 39 6" xfId="10695"/>
    <cellStyle name="Normal 39 7" xfId="13331"/>
    <cellStyle name="Normal 39 8" xfId="13965"/>
    <cellStyle name="Normal 39 9" xfId="17690"/>
    <cellStyle name="Normal 4" xfId="49"/>
    <cellStyle name="Normal 4 10" xfId="13929"/>
    <cellStyle name="Normal 4 11" xfId="17660"/>
    <cellStyle name="Normal 4 12" xfId="22742"/>
    <cellStyle name="Normal 4 13" xfId="27747"/>
    <cellStyle name="Normal 4 14" xfId="32656"/>
    <cellStyle name="Normal 4 2" xfId="1295"/>
    <cellStyle name="Normal 4 2 10" xfId="4505"/>
    <cellStyle name="Normal 4 2 10 2" xfId="6129"/>
    <cellStyle name="Normal 4 2 10 3" xfId="18233"/>
    <cellStyle name="Normal 4 2 10 4" xfId="23276"/>
    <cellStyle name="Normal 4 2 10 5" xfId="28237"/>
    <cellStyle name="Normal 4 2 10 6" xfId="33095"/>
    <cellStyle name="Normal 4 2 10 7" xfId="37826"/>
    <cellStyle name="Normal 4 2 11" xfId="4558"/>
    <cellStyle name="Normal 4 2 11 2" xfId="6090"/>
    <cellStyle name="Normal 4 2 11 3" xfId="18194"/>
    <cellStyle name="Normal 4 2 11 4" xfId="23237"/>
    <cellStyle name="Normal 4 2 11 5" xfId="28198"/>
    <cellStyle name="Normal 4 2 11 6" xfId="33056"/>
    <cellStyle name="Normal 4 2 11 7" xfId="37787"/>
    <cellStyle name="Normal 4 2 12" xfId="4665"/>
    <cellStyle name="Normal 4 2 12 2" xfId="5860"/>
    <cellStyle name="Normal 4 2 12 3" xfId="17960"/>
    <cellStyle name="Normal 4 2 12 4" xfId="23003"/>
    <cellStyle name="Normal 4 2 12 5" xfId="27964"/>
    <cellStyle name="Normal 4 2 12 6" xfId="32822"/>
    <cellStyle name="Normal 4 2 12 7" xfId="37553"/>
    <cellStyle name="Normal 4 2 13" xfId="4785"/>
    <cellStyle name="Normal 4 2 13 2" xfId="5900"/>
    <cellStyle name="Normal 4 2 13 3" xfId="18001"/>
    <cellStyle name="Normal 4 2 13 4" xfId="23044"/>
    <cellStyle name="Normal 4 2 13 5" xfId="28005"/>
    <cellStyle name="Normal 4 2 13 6" xfId="32863"/>
    <cellStyle name="Normal 4 2 13 7" xfId="37594"/>
    <cellStyle name="Normal 4 2 14" xfId="4758"/>
    <cellStyle name="Normal 4 2 14 2" xfId="6006"/>
    <cellStyle name="Normal 4 2 14 3" xfId="18109"/>
    <cellStyle name="Normal 4 2 14 4" xfId="23152"/>
    <cellStyle name="Normal 4 2 14 5" xfId="28113"/>
    <cellStyle name="Normal 4 2 14 6" xfId="32971"/>
    <cellStyle name="Normal 4 2 14 7" xfId="37702"/>
    <cellStyle name="Normal 4 2 15" xfId="4899"/>
    <cellStyle name="Normal 4 2 15 2" xfId="5954"/>
    <cellStyle name="Normal 4 2 15 3" xfId="18056"/>
    <cellStyle name="Normal 4 2 15 4" xfId="23099"/>
    <cellStyle name="Normal 4 2 15 5" xfId="28060"/>
    <cellStyle name="Normal 4 2 15 6" xfId="32918"/>
    <cellStyle name="Normal 4 2 15 7" xfId="37649"/>
    <cellStyle name="Normal 4 2 16" xfId="4867"/>
    <cellStyle name="Normal 4 2 16 2" xfId="6341"/>
    <cellStyle name="Normal 4 2 16 3" xfId="18449"/>
    <cellStyle name="Normal 4 2 16 4" xfId="23492"/>
    <cellStyle name="Normal 4 2 16 5" xfId="28453"/>
    <cellStyle name="Normal 4 2 16 6" xfId="33311"/>
    <cellStyle name="Normal 4 2 16 7" xfId="38042"/>
    <cellStyle name="Normal 4 2 17" xfId="5002"/>
    <cellStyle name="Normal 4 2 17 2" xfId="5991"/>
    <cellStyle name="Normal 4 2 17 3" xfId="18094"/>
    <cellStyle name="Normal 4 2 17 4" xfId="23137"/>
    <cellStyle name="Normal 4 2 17 5" xfId="28098"/>
    <cellStyle name="Normal 4 2 17 6" xfId="32956"/>
    <cellStyle name="Normal 4 2 17 7" xfId="37687"/>
    <cellStyle name="Normal 4 2 18" xfId="4977"/>
    <cellStyle name="Normal 4 2 18 2" xfId="6240"/>
    <cellStyle name="Normal 4 2 18 3" xfId="18344"/>
    <cellStyle name="Normal 4 2 18 4" xfId="23387"/>
    <cellStyle name="Normal 4 2 18 5" xfId="28348"/>
    <cellStyle name="Normal 4 2 18 6" xfId="33206"/>
    <cellStyle name="Normal 4 2 18 7" xfId="37937"/>
    <cellStyle name="Normal 4 2 19" xfId="5157"/>
    <cellStyle name="Normal 4 2 19 2" xfId="5985"/>
    <cellStyle name="Normal 4 2 19 3" xfId="18088"/>
    <cellStyle name="Normal 4 2 19 4" xfId="23131"/>
    <cellStyle name="Normal 4 2 19 5" xfId="28092"/>
    <cellStyle name="Normal 4 2 19 6" xfId="32950"/>
    <cellStyle name="Normal 4 2 19 7" xfId="37681"/>
    <cellStyle name="Normal 4 2 2" xfId="1316"/>
    <cellStyle name="Normal 4 2 2 2" xfId="2474"/>
    <cellStyle name="Normal 4 2 2 2 10" xfId="4612"/>
    <cellStyle name="Normal 4 2 2 2 10 2" xfId="6103"/>
    <cellStyle name="Normal 4 2 2 2 10 3" xfId="18207"/>
    <cellStyle name="Normal 4 2 2 2 10 4" xfId="23250"/>
    <cellStyle name="Normal 4 2 2 2 10 5" xfId="28211"/>
    <cellStyle name="Normal 4 2 2 2 10 6" xfId="33069"/>
    <cellStyle name="Normal 4 2 2 2 10 7" xfId="37800"/>
    <cellStyle name="Normal 4 2 2 2 11" xfId="4687"/>
    <cellStyle name="Normal 4 2 2 2 11 2" xfId="6303"/>
    <cellStyle name="Normal 4 2 2 2 11 3" xfId="18411"/>
    <cellStyle name="Normal 4 2 2 2 11 4" xfId="23454"/>
    <cellStyle name="Normal 4 2 2 2 11 5" xfId="28415"/>
    <cellStyle name="Normal 4 2 2 2 11 6" xfId="33273"/>
    <cellStyle name="Normal 4 2 2 2 11 7" xfId="38004"/>
    <cellStyle name="Normal 4 2 2 2 12" xfId="4843"/>
    <cellStyle name="Normal 4 2 2 2 12 2" xfId="5939"/>
    <cellStyle name="Normal 4 2 2 2 12 3" xfId="18041"/>
    <cellStyle name="Normal 4 2 2 2 12 4" xfId="23084"/>
    <cellStyle name="Normal 4 2 2 2 12 5" xfId="28045"/>
    <cellStyle name="Normal 4 2 2 2 12 6" xfId="32903"/>
    <cellStyle name="Normal 4 2 2 2 12 7" xfId="37634"/>
    <cellStyle name="Normal 4 2 2 2 13" xfId="4912"/>
    <cellStyle name="Normal 4 2 2 2 13 2" xfId="6230"/>
    <cellStyle name="Normal 4 2 2 2 13 3" xfId="18334"/>
    <cellStyle name="Normal 4 2 2 2 13 4" xfId="23377"/>
    <cellStyle name="Normal 4 2 2 2 13 5" xfId="28338"/>
    <cellStyle name="Normal 4 2 2 2 13 6" xfId="33196"/>
    <cellStyle name="Normal 4 2 2 2 13 7" xfId="37927"/>
    <cellStyle name="Normal 4 2 2 2 14" xfId="4761"/>
    <cellStyle name="Normal 4 2 2 2 14 2" xfId="6033"/>
    <cellStyle name="Normal 4 2 2 2 14 3" xfId="18137"/>
    <cellStyle name="Normal 4 2 2 2 14 4" xfId="23180"/>
    <cellStyle name="Normal 4 2 2 2 14 5" xfId="28141"/>
    <cellStyle name="Normal 4 2 2 2 14 6" xfId="32999"/>
    <cellStyle name="Normal 4 2 2 2 14 7" xfId="37730"/>
    <cellStyle name="Normal 4 2 2 2 15" xfId="4754"/>
    <cellStyle name="Normal 4 2 2 2 15 2" xfId="5926"/>
    <cellStyle name="Normal 4 2 2 2 15 3" xfId="18028"/>
    <cellStyle name="Normal 4 2 2 2 15 4" xfId="23071"/>
    <cellStyle name="Normal 4 2 2 2 15 5" xfId="28032"/>
    <cellStyle name="Normal 4 2 2 2 15 6" xfId="32890"/>
    <cellStyle name="Normal 4 2 2 2 15 7" xfId="37621"/>
    <cellStyle name="Normal 4 2 2 2 16" xfId="5068"/>
    <cellStyle name="Normal 4 2 2 2 16 2" xfId="6324"/>
    <cellStyle name="Normal 4 2 2 2 16 3" xfId="18432"/>
    <cellStyle name="Normal 4 2 2 2 16 4" xfId="23475"/>
    <cellStyle name="Normal 4 2 2 2 16 5" xfId="28436"/>
    <cellStyle name="Normal 4 2 2 2 16 6" xfId="33294"/>
    <cellStyle name="Normal 4 2 2 2 16 7" xfId="38025"/>
    <cellStyle name="Normal 4 2 2 2 17" xfId="5127"/>
    <cellStyle name="Normal 4 2 2 2 17 2" xfId="6100"/>
    <cellStyle name="Normal 4 2 2 2 17 3" xfId="18204"/>
    <cellStyle name="Normal 4 2 2 2 17 4" xfId="23247"/>
    <cellStyle name="Normal 4 2 2 2 17 5" xfId="28208"/>
    <cellStyle name="Normal 4 2 2 2 17 6" xfId="33066"/>
    <cellStyle name="Normal 4 2 2 2 17 7" xfId="37797"/>
    <cellStyle name="Normal 4 2 2 2 18" xfId="5105"/>
    <cellStyle name="Normal 4 2 2 2 18 2" xfId="6257"/>
    <cellStyle name="Normal 4 2 2 2 18 3" xfId="18361"/>
    <cellStyle name="Normal 4 2 2 2 18 4" xfId="23404"/>
    <cellStyle name="Normal 4 2 2 2 18 5" xfId="28365"/>
    <cellStyle name="Normal 4 2 2 2 18 6" xfId="33223"/>
    <cellStyle name="Normal 4 2 2 2 18 7" xfId="37954"/>
    <cellStyle name="Normal 4 2 2 2 19" xfId="4974"/>
    <cellStyle name="Normal 4 2 2 2 19 2" xfId="6763"/>
    <cellStyle name="Normal 4 2 2 2 19 3" xfId="18884"/>
    <cellStyle name="Normal 4 2 2 2 19 4" xfId="23927"/>
    <cellStyle name="Normal 4 2 2 2 19 5" xfId="28888"/>
    <cellStyle name="Normal 4 2 2 2 19 6" xfId="33746"/>
    <cellStyle name="Normal 4 2 2 2 19 7" xfId="38477"/>
    <cellStyle name="Normal 4 2 2 2 2" xfId="2492"/>
    <cellStyle name="Normal 4 2 2 2 2 2" xfId="13039"/>
    <cellStyle name="Normal 4 2 2 2 2 3" xfId="12404"/>
    <cellStyle name="Normal 4 2 2 2 2 4" xfId="14124"/>
    <cellStyle name="Normal 4 2 2 2 2 5" xfId="17832"/>
    <cellStyle name="Normal 4 2 2 2 2 6" xfId="22888"/>
    <cellStyle name="Normal 4 2 2 2 2 7" xfId="27858"/>
    <cellStyle name="Normal 4 2 2 2 20" xfId="5421"/>
    <cellStyle name="Normal 4 2 2 2 20 2" xfId="6827"/>
    <cellStyle name="Normal 4 2 2 2 20 3" xfId="18948"/>
    <cellStyle name="Normal 4 2 2 2 20 4" xfId="23991"/>
    <cellStyle name="Normal 4 2 2 2 20 5" xfId="28952"/>
    <cellStyle name="Normal 4 2 2 2 20 6" xfId="33810"/>
    <cellStyle name="Normal 4 2 2 2 20 7" xfId="38541"/>
    <cellStyle name="Normal 4 2 2 2 21" xfId="5559"/>
    <cellStyle name="Normal 4 2 2 2 21 2" xfId="6682"/>
    <cellStyle name="Normal 4 2 2 2 21 3" xfId="18802"/>
    <cellStyle name="Normal 4 2 2 2 21 4" xfId="23845"/>
    <cellStyle name="Normal 4 2 2 2 21 5" xfId="28806"/>
    <cellStyle name="Normal 4 2 2 2 21 6" xfId="33664"/>
    <cellStyle name="Normal 4 2 2 2 21 7" xfId="38395"/>
    <cellStyle name="Normal 4 2 2 2 22" xfId="5239"/>
    <cellStyle name="Normal 4 2 2 2 22 2" xfId="6674"/>
    <cellStyle name="Normal 4 2 2 2 22 3" xfId="18794"/>
    <cellStyle name="Normal 4 2 2 2 22 4" xfId="23837"/>
    <cellStyle name="Normal 4 2 2 2 22 5" xfId="28798"/>
    <cellStyle name="Normal 4 2 2 2 22 6" xfId="33656"/>
    <cellStyle name="Normal 4 2 2 2 22 7" xfId="38387"/>
    <cellStyle name="Normal 4 2 2 2 23" xfId="5216"/>
    <cellStyle name="Normal 4 2 2 2 23 2" xfId="7165"/>
    <cellStyle name="Normal 4 2 2 2 23 3" xfId="19320"/>
    <cellStyle name="Normal 4 2 2 2 23 4" xfId="24363"/>
    <cellStyle name="Normal 4 2 2 2 23 5" xfId="29324"/>
    <cellStyle name="Normal 4 2 2 2 23 6" xfId="34182"/>
    <cellStyle name="Normal 4 2 2 2 23 7" xfId="38913"/>
    <cellStyle name="Normal 4 2 2 2 24" xfId="5314"/>
    <cellStyle name="Normal 4 2 2 2 24 2" xfId="7314"/>
    <cellStyle name="Normal 4 2 2 2 24 3" xfId="19484"/>
    <cellStyle name="Normal 4 2 2 2 24 4" xfId="24527"/>
    <cellStyle name="Normal 4 2 2 2 24 5" xfId="29488"/>
    <cellStyle name="Normal 4 2 2 2 24 6" xfId="34346"/>
    <cellStyle name="Normal 4 2 2 2 24 7" xfId="39077"/>
    <cellStyle name="Normal 4 2 2 2 25" xfId="5581"/>
    <cellStyle name="Normal 4 2 2 2 25 2" xfId="6938"/>
    <cellStyle name="Normal 4 2 2 2 25 3" xfId="19067"/>
    <cellStyle name="Normal 4 2 2 2 25 4" xfId="24110"/>
    <cellStyle name="Normal 4 2 2 2 25 5" xfId="29071"/>
    <cellStyle name="Normal 4 2 2 2 25 6" xfId="33929"/>
    <cellStyle name="Normal 4 2 2 2 25 7" xfId="38660"/>
    <cellStyle name="Normal 4 2 2 2 26" xfId="5529"/>
    <cellStyle name="Normal 4 2 2 2 26 2" xfId="6914"/>
    <cellStyle name="Normal 4 2 2 2 26 3" xfId="19042"/>
    <cellStyle name="Normal 4 2 2 2 26 4" xfId="24085"/>
    <cellStyle name="Normal 4 2 2 2 26 5" xfId="29046"/>
    <cellStyle name="Normal 4 2 2 2 26 6" xfId="33904"/>
    <cellStyle name="Normal 4 2 2 2 26 7" xfId="38635"/>
    <cellStyle name="Normal 4 2 2 2 27" xfId="5582"/>
    <cellStyle name="Normal 4 2 2 2 27 2" xfId="7146"/>
    <cellStyle name="Normal 4 2 2 2 27 3" xfId="19298"/>
    <cellStyle name="Normal 4 2 2 2 27 4" xfId="24341"/>
    <cellStyle name="Normal 4 2 2 2 27 5" xfId="29302"/>
    <cellStyle name="Normal 4 2 2 2 27 6" xfId="34160"/>
    <cellStyle name="Normal 4 2 2 2 27 7" xfId="38891"/>
    <cellStyle name="Normal 4 2 2 2 28" xfId="5533"/>
    <cellStyle name="Normal 4 2 2 2 28 2" xfId="6999"/>
    <cellStyle name="Normal 4 2 2 2 28 3" xfId="19137"/>
    <cellStyle name="Normal 4 2 2 2 28 4" xfId="24180"/>
    <cellStyle name="Normal 4 2 2 2 28 5" xfId="29141"/>
    <cellStyle name="Normal 4 2 2 2 28 6" xfId="33999"/>
    <cellStyle name="Normal 4 2 2 2 28 7" xfId="38730"/>
    <cellStyle name="Normal 4 2 2 2 29" xfId="5773"/>
    <cellStyle name="Normal 4 2 2 2 29 2" xfId="14392"/>
    <cellStyle name="Normal 4 2 2 2 29 3" xfId="19365"/>
    <cellStyle name="Normal 4 2 2 2 29 4" xfId="24408"/>
    <cellStyle name="Normal 4 2 2 2 29 5" xfId="29369"/>
    <cellStyle name="Normal 4 2 2 2 29 6" xfId="34227"/>
    <cellStyle name="Normal 4 2 2 2 29 7" xfId="38958"/>
    <cellStyle name="Normal 4 2 2 2 3" xfId="4287"/>
    <cellStyle name="Normal 4 2 2 2 3 2" xfId="6199"/>
    <cellStyle name="Normal 4 2 2 2 3 3" xfId="18303"/>
    <cellStyle name="Normal 4 2 2 2 3 4" xfId="23346"/>
    <cellStyle name="Normal 4 2 2 2 3 5" xfId="28307"/>
    <cellStyle name="Normal 4 2 2 2 3 6" xfId="33165"/>
    <cellStyle name="Normal 4 2 2 2 3 7" xfId="37896"/>
    <cellStyle name="Normal 4 2 2 2 30" xfId="7098"/>
    <cellStyle name="Normal 4 2 2 2 30 2" xfId="14342"/>
    <cellStyle name="Normal 4 2 2 2 30 3" xfId="19244"/>
    <cellStyle name="Normal 4 2 2 2 30 4" xfId="24287"/>
    <cellStyle name="Normal 4 2 2 2 30 5" xfId="29248"/>
    <cellStyle name="Normal 4 2 2 2 30 6" xfId="34106"/>
    <cellStyle name="Normal 4 2 2 2 30 7" xfId="38837"/>
    <cellStyle name="Normal 4 2 2 2 31" xfId="7241"/>
    <cellStyle name="Normal 4 2 2 2 31 2" xfId="14409"/>
    <cellStyle name="Normal 4 2 2 2 31 3" xfId="19403"/>
    <cellStyle name="Normal 4 2 2 2 31 4" xfId="24446"/>
    <cellStyle name="Normal 4 2 2 2 31 5" xfId="29407"/>
    <cellStyle name="Normal 4 2 2 2 31 6" xfId="34265"/>
    <cellStyle name="Normal 4 2 2 2 31 7" xfId="38996"/>
    <cellStyle name="Normal 4 2 2 2 32" xfId="6981"/>
    <cellStyle name="Normal 4 2 2 2 32 2" xfId="14278"/>
    <cellStyle name="Normal 4 2 2 2 32 3" xfId="19114"/>
    <cellStyle name="Normal 4 2 2 2 32 4" xfId="24157"/>
    <cellStyle name="Normal 4 2 2 2 32 5" xfId="29118"/>
    <cellStyle name="Normal 4 2 2 2 32 6" xfId="33976"/>
    <cellStyle name="Normal 4 2 2 2 32 7" xfId="38707"/>
    <cellStyle name="Normal 4 2 2 2 33" xfId="7194"/>
    <cellStyle name="Normal 4 2 2 2 33 2" xfId="14386"/>
    <cellStyle name="Normal 4 2 2 2 33 3" xfId="19350"/>
    <cellStyle name="Normal 4 2 2 2 33 4" xfId="24393"/>
    <cellStyle name="Normal 4 2 2 2 33 5" xfId="29354"/>
    <cellStyle name="Normal 4 2 2 2 33 6" xfId="34212"/>
    <cellStyle name="Normal 4 2 2 2 33 7" xfId="38943"/>
    <cellStyle name="Normal 4 2 2 2 34" xfId="7048"/>
    <cellStyle name="Normal 4 2 2 2 34 2" xfId="14316"/>
    <cellStyle name="Normal 4 2 2 2 34 3" xfId="19190"/>
    <cellStyle name="Normal 4 2 2 2 34 4" xfId="24233"/>
    <cellStyle name="Normal 4 2 2 2 34 5" xfId="29194"/>
    <cellStyle name="Normal 4 2 2 2 34 6" xfId="34052"/>
    <cellStyle name="Normal 4 2 2 2 34 7" xfId="38783"/>
    <cellStyle name="Normal 4 2 2 2 35" xfId="7826"/>
    <cellStyle name="Normal 4 2 2 2 35 2" xfId="14906"/>
    <cellStyle name="Normal 4 2 2 2 35 3" xfId="20023"/>
    <cellStyle name="Normal 4 2 2 2 35 4" xfId="25066"/>
    <cellStyle name="Normal 4 2 2 2 35 5" xfId="30027"/>
    <cellStyle name="Normal 4 2 2 2 35 6" xfId="34885"/>
    <cellStyle name="Normal 4 2 2 2 35 7" xfId="39616"/>
    <cellStyle name="Normal 4 2 2 2 36" xfId="8022"/>
    <cellStyle name="Normal 4 2 2 2 36 2" xfId="15102"/>
    <cellStyle name="Normal 4 2 2 2 36 3" xfId="20219"/>
    <cellStyle name="Normal 4 2 2 2 36 4" xfId="25262"/>
    <cellStyle name="Normal 4 2 2 2 36 5" xfId="30223"/>
    <cellStyle name="Normal 4 2 2 2 36 6" xfId="35081"/>
    <cellStyle name="Normal 4 2 2 2 36 7" xfId="39812"/>
    <cellStyle name="Normal 4 2 2 2 37" xfId="7541"/>
    <cellStyle name="Normal 4 2 2 2 37 2" xfId="14619"/>
    <cellStyle name="Normal 4 2 2 2 37 3" xfId="19736"/>
    <cellStyle name="Normal 4 2 2 2 37 4" xfId="24779"/>
    <cellStyle name="Normal 4 2 2 2 37 5" xfId="29740"/>
    <cellStyle name="Normal 4 2 2 2 37 6" xfId="34598"/>
    <cellStyle name="Normal 4 2 2 2 37 7" xfId="39329"/>
    <cellStyle name="Normal 4 2 2 2 38" xfId="7510"/>
    <cellStyle name="Normal 4 2 2 2 38 2" xfId="14587"/>
    <cellStyle name="Normal 4 2 2 2 38 3" xfId="19704"/>
    <cellStyle name="Normal 4 2 2 2 38 4" xfId="24747"/>
    <cellStyle name="Normal 4 2 2 2 38 5" xfId="29708"/>
    <cellStyle name="Normal 4 2 2 2 38 6" xfId="34566"/>
    <cellStyle name="Normal 4 2 2 2 38 7" xfId="39297"/>
    <cellStyle name="Normal 4 2 2 2 39" xfId="7802"/>
    <cellStyle name="Normal 4 2 2 2 39 2" xfId="14882"/>
    <cellStyle name="Normal 4 2 2 2 39 3" xfId="19999"/>
    <cellStyle name="Normal 4 2 2 2 39 4" xfId="25042"/>
    <cellStyle name="Normal 4 2 2 2 39 5" xfId="30003"/>
    <cellStyle name="Normal 4 2 2 2 39 6" xfId="34861"/>
    <cellStyle name="Normal 4 2 2 2 39 7" xfId="39592"/>
    <cellStyle name="Normal 4 2 2 2 4" xfId="4272"/>
    <cellStyle name="Normal 4 2 2 2 4 2" xfId="6413"/>
    <cellStyle name="Normal 4 2 2 2 4 3" xfId="18523"/>
    <cellStyle name="Normal 4 2 2 2 4 4" xfId="23566"/>
    <cellStyle name="Normal 4 2 2 2 4 5" xfId="28527"/>
    <cellStyle name="Normal 4 2 2 2 4 6" xfId="33385"/>
    <cellStyle name="Normal 4 2 2 2 4 7" xfId="38116"/>
    <cellStyle name="Normal 4 2 2 2 40" xfId="7622"/>
    <cellStyle name="Normal 4 2 2 2 40 2" xfId="14702"/>
    <cellStyle name="Normal 4 2 2 2 40 3" xfId="19819"/>
    <cellStyle name="Normal 4 2 2 2 40 4" xfId="24862"/>
    <cellStyle name="Normal 4 2 2 2 40 5" xfId="29823"/>
    <cellStyle name="Normal 4 2 2 2 40 6" xfId="34681"/>
    <cellStyle name="Normal 4 2 2 2 40 7" xfId="39412"/>
    <cellStyle name="Normal 4 2 2 2 41" xfId="7874"/>
    <cellStyle name="Normal 4 2 2 2 41 2" xfId="14954"/>
    <cellStyle name="Normal 4 2 2 2 41 3" xfId="20071"/>
    <cellStyle name="Normal 4 2 2 2 41 4" xfId="25114"/>
    <cellStyle name="Normal 4 2 2 2 41 5" xfId="30075"/>
    <cellStyle name="Normal 4 2 2 2 41 6" xfId="34933"/>
    <cellStyle name="Normal 4 2 2 2 41 7" xfId="39664"/>
    <cellStyle name="Normal 4 2 2 2 42" xfId="7741"/>
    <cellStyle name="Normal 4 2 2 2 42 2" xfId="14821"/>
    <cellStyle name="Normal 4 2 2 2 42 3" xfId="19938"/>
    <cellStyle name="Normal 4 2 2 2 42 4" xfId="24981"/>
    <cellStyle name="Normal 4 2 2 2 42 5" xfId="29942"/>
    <cellStyle name="Normal 4 2 2 2 42 6" xfId="34800"/>
    <cellStyle name="Normal 4 2 2 2 42 7" xfId="39531"/>
    <cellStyle name="Normal 4 2 2 2 43" xfId="7921"/>
    <cellStyle name="Normal 4 2 2 2 43 2" xfId="15001"/>
    <cellStyle name="Normal 4 2 2 2 43 3" xfId="20118"/>
    <cellStyle name="Normal 4 2 2 2 43 4" xfId="25161"/>
    <cellStyle name="Normal 4 2 2 2 43 5" xfId="30122"/>
    <cellStyle name="Normal 4 2 2 2 43 6" xfId="34980"/>
    <cellStyle name="Normal 4 2 2 2 43 7" xfId="39711"/>
    <cellStyle name="Normal 4 2 2 2 44" xfId="7594"/>
    <cellStyle name="Normal 4 2 2 2 44 2" xfId="14674"/>
    <cellStyle name="Normal 4 2 2 2 44 3" xfId="19791"/>
    <cellStyle name="Normal 4 2 2 2 44 4" xfId="24834"/>
    <cellStyle name="Normal 4 2 2 2 44 5" xfId="29795"/>
    <cellStyle name="Normal 4 2 2 2 44 6" xfId="34653"/>
    <cellStyle name="Normal 4 2 2 2 44 7" xfId="39384"/>
    <cellStyle name="Normal 4 2 2 2 45" xfId="7856"/>
    <cellStyle name="Normal 4 2 2 2 45 2" xfId="14936"/>
    <cellStyle name="Normal 4 2 2 2 45 3" xfId="20053"/>
    <cellStyle name="Normal 4 2 2 2 45 4" xfId="25096"/>
    <cellStyle name="Normal 4 2 2 2 45 5" xfId="30057"/>
    <cellStyle name="Normal 4 2 2 2 45 6" xfId="34915"/>
    <cellStyle name="Normal 4 2 2 2 45 7" xfId="39646"/>
    <cellStyle name="Normal 4 2 2 2 46" xfId="7680"/>
    <cellStyle name="Normal 4 2 2 2 46 2" xfId="14760"/>
    <cellStyle name="Normal 4 2 2 2 46 3" xfId="19877"/>
    <cellStyle name="Normal 4 2 2 2 46 4" xfId="24920"/>
    <cellStyle name="Normal 4 2 2 2 46 5" xfId="29881"/>
    <cellStyle name="Normal 4 2 2 2 46 6" xfId="34739"/>
    <cellStyle name="Normal 4 2 2 2 46 7" xfId="39470"/>
    <cellStyle name="Normal 4 2 2 2 47" xfId="7583"/>
    <cellStyle name="Normal 4 2 2 2 47 2" xfId="14663"/>
    <cellStyle name="Normal 4 2 2 2 47 3" xfId="19780"/>
    <cellStyle name="Normal 4 2 2 2 47 4" xfId="24823"/>
    <cellStyle name="Normal 4 2 2 2 47 5" xfId="29784"/>
    <cellStyle name="Normal 4 2 2 2 47 6" xfId="34642"/>
    <cellStyle name="Normal 4 2 2 2 47 7" xfId="39373"/>
    <cellStyle name="Normal 4 2 2 2 48" xfId="7940"/>
    <cellStyle name="Normal 4 2 2 2 48 2" xfId="15020"/>
    <cellStyle name="Normal 4 2 2 2 48 3" xfId="20137"/>
    <cellStyle name="Normal 4 2 2 2 48 4" xfId="25180"/>
    <cellStyle name="Normal 4 2 2 2 48 5" xfId="30141"/>
    <cellStyle name="Normal 4 2 2 2 48 6" xfId="34999"/>
    <cellStyle name="Normal 4 2 2 2 48 7" xfId="39730"/>
    <cellStyle name="Normal 4 2 2 2 49" xfId="8622"/>
    <cellStyle name="Normal 4 2 2 2 49 2" xfId="15703"/>
    <cellStyle name="Normal 4 2 2 2 49 3" xfId="20820"/>
    <cellStyle name="Normal 4 2 2 2 49 4" xfId="25863"/>
    <cellStyle name="Normal 4 2 2 2 49 5" xfId="30824"/>
    <cellStyle name="Normal 4 2 2 2 49 6" xfId="35682"/>
    <cellStyle name="Normal 4 2 2 2 49 7" xfId="40413"/>
    <cellStyle name="Normal 4 2 2 2 5" xfId="4330"/>
    <cellStyle name="Normal 4 2 2 2 5 2" xfId="5881"/>
    <cellStyle name="Normal 4 2 2 2 5 3" xfId="17981"/>
    <cellStyle name="Normal 4 2 2 2 5 4" xfId="23024"/>
    <cellStyle name="Normal 4 2 2 2 5 5" xfId="27985"/>
    <cellStyle name="Normal 4 2 2 2 5 6" xfId="32843"/>
    <cellStyle name="Normal 4 2 2 2 5 7" xfId="37574"/>
    <cellStyle name="Normal 4 2 2 2 50" xfId="8821"/>
    <cellStyle name="Normal 4 2 2 2 50 2" xfId="15902"/>
    <cellStyle name="Normal 4 2 2 2 50 3" xfId="21019"/>
    <cellStyle name="Normal 4 2 2 2 50 4" xfId="26062"/>
    <cellStyle name="Normal 4 2 2 2 50 5" xfId="31023"/>
    <cellStyle name="Normal 4 2 2 2 50 6" xfId="35881"/>
    <cellStyle name="Normal 4 2 2 2 50 7" xfId="40612"/>
    <cellStyle name="Normal 4 2 2 2 51" xfId="8320"/>
    <cellStyle name="Normal 4 2 2 2 51 2" xfId="15401"/>
    <cellStyle name="Normal 4 2 2 2 51 3" xfId="20518"/>
    <cellStyle name="Normal 4 2 2 2 51 4" xfId="25561"/>
    <cellStyle name="Normal 4 2 2 2 51 5" xfId="30522"/>
    <cellStyle name="Normal 4 2 2 2 51 6" xfId="35380"/>
    <cellStyle name="Normal 4 2 2 2 51 7" xfId="40111"/>
    <cellStyle name="Normal 4 2 2 2 52" xfId="8292"/>
    <cellStyle name="Normal 4 2 2 2 52 2" xfId="15373"/>
    <cellStyle name="Normal 4 2 2 2 52 3" xfId="20490"/>
    <cellStyle name="Normal 4 2 2 2 52 4" xfId="25533"/>
    <cellStyle name="Normal 4 2 2 2 52 5" xfId="30494"/>
    <cellStyle name="Normal 4 2 2 2 52 6" xfId="35352"/>
    <cellStyle name="Normal 4 2 2 2 52 7" xfId="40083"/>
    <cellStyle name="Normal 4 2 2 2 53" xfId="8584"/>
    <cellStyle name="Normal 4 2 2 2 53 2" xfId="15665"/>
    <cellStyle name="Normal 4 2 2 2 53 3" xfId="20782"/>
    <cellStyle name="Normal 4 2 2 2 53 4" xfId="25825"/>
    <cellStyle name="Normal 4 2 2 2 53 5" xfId="30786"/>
    <cellStyle name="Normal 4 2 2 2 53 6" xfId="35644"/>
    <cellStyle name="Normal 4 2 2 2 53 7" xfId="40375"/>
    <cellStyle name="Normal 4 2 2 2 54" xfId="8395"/>
    <cellStyle name="Normal 4 2 2 2 54 2" xfId="15476"/>
    <cellStyle name="Normal 4 2 2 2 54 3" xfId="20593"/>
    <cellStyle name="Normal 4 2 2 2 54 4" xfId="25636"/>
    <cellStyle name="Normal 4 2 2 2 54 5" xfId="30597"/>
    <cellStyle name="Normal 4 2 2 2 54 6" xfId="35455"/>
    <cellStyle name="Normal 4 2 2 2 54 7" xfId="40186"/>
    <cellStyle name="Normal 4 2 2 2 55" xfId="8675"/>
    <cellStyle name="Normal 4 2 2 2 55 2" xfId="15756"/>
    <cellStyle name="Normal 4 2 2 2 55 3" xfId="20873"/>
    <cellStyle name="Normal 4 2 2 2 55 4" xfId="25916"/>
    <cellStyle name="Normal 4 2 2 2 55 5" xfId="30877"/>
    <cellStyle name="Normal 4 2 2 2 55 6" xfId="35735"/>
    <cellStyle name="Normal 4 2 2 2 55 7" xfId="40466"/>
    <cellStyle name="Normal 4 2 2 2 56" xfId="8874"/>
    <cellStyle name="Normal 4 2 2 2 56 2" xfId="15955"/>
    <cellStyle name="Normal 4 2 2 2 56 3" xfId="21072"/>
    <cellStyle name="Normal 4 2 2 2 56 4" xfId="26115"/>
    <cellStyle name="Normal 4 2 2 2 56 5" xfId="31076"/>
    <cellStyle name="Normal 4 2 2 2 56 6" xfId="35934"/>
    <cellStyle name="Normal 4 2 2 2 56 7" xfId="40665"/>
    <cellStyle name="Normal 4 2 2 2 57" xfId="8408"/>
    <cellStyle name="Normal 4 2 2 2 57 2" xfId="15489"/>
    <cellStyle name="Normal 4 2 2 2 57 3" xfId="20606"/>
    <cellStyle name="Normal 4 2 2 2 57 4" xfId="25649"/>
    <cellStyle name="Normal 4 2 2 2 57 5" xfId="30610"/>
    <cellStyle name="Normal 4 2 2 2 57 6" xfId="35468"/>
    <cellStyle name="Normal 4 2 2 2 57 7" xfId="40199"/>
    <cellStyle name="Normal 4 2 2 2 58" xfId="8603"/>
    <cellStyle name="Normal 4 2 2 2 58 2" xfId="15684"/>
    <cellStyle name="Normal 4 2 2 2 58 3" xfId="20801"/>
    <cellStyle name="Normal 4 2 2 2 58 4" xfId="25844"/>
    <cellStyle name="Normal 4 2 2 2 58 5" xfId="30805"/>
    <cellStyle name="Normal 4 2 2 2 58 6" xfId="35663"/>
    <cellStyle name="Normal 4 2 2 2 58 7" xfId="40394"/>
    <cellStyle name="Normal 4 2 2 2 59" xfId="8422"/>
    <cellStyle name="Normal 4 2 2 2 59 2" xfId="15503"/>
    <cellStyle name="Normal 4 2 2 2 59 3" xfId="20620"/>
    <cellStyle name="Normal 4 2 2 2 59 4" xfId="25663"/>
    <cellStyle name="Normal 4 2 2 2 59 5" xfId="30624"/>
    <cellStyle name="Normal 4 2 2 2 59 6" xfId="35482"/>
    <cellStyle name="Normal 4 2 2 2 59 7" xfId="40213"/>
    <cellStyle name="Normal 4 2 2 2 6" xfId="4405"/>
    <cellStyle name="Normal 4 2 2 2 6 2" xfId="5848"/>
    <cellStyle name="Normal 4 2 2 2 6 3" xfId="17948"/>
    <cellStyle name="Normal 4 2 2 2 6 4" xfId="22991"/>
    <cellStyle name="Normal 4 2 2 2 6 5" xfId="27952"/>
    <cellStyle name="Normal 4 2 2 2 6 6" xfId="32810"/>
    <cellStyle name="Normal 4 2 2 2 6 7" xfId="37541"/>
    <cellStyle name="Normal 4 2 2 2 60" xfId="8355"/>
    <cellStyle name="Normal 4 2 2 2 60 2" xfId="15436"/>
    <cellStyle name="Normal 4 2 2 2 60 3" xfId="20553"/>
    <cellStyle name="Normal 4 2 2 2 60 4" xfId="25596"/>
    <cellStyle name="Normal 4 2 2 2 60 5" xfId="30557"/>
    <cellStyle name="Normal 4 2 2 2 60 6" xfId="35415"/>
    <cellStyle name="Normal 4 2 2 2 60 7" xfId="40146"/>
    <cellStyle name="Normal 4 2 2 2 61" xfId="8447"/>
    <cellStyle name="Normal 4 2 2 2 61 2" xfId="15528"/>
    <cellStyle name="Normal 4 2 2 2 61 3" xfId="20645"/>
    <cellStyle name="Normal 4 2 2 2 61 4" xfId="25688"/>
    <cellStyle name="Normal 4 2 2 2 61 5" xfId="30649"/>
    <cellStyle name="Normal 4 2 2 2 61 6" xfId="35507"/>
    <cellStyle name="Normal 4 2 2 2 61 7" xfId="40238"/>
    <cellStyle name="Normal 4 2 2 2 62" xfId="8862"/>
    <cellStyle name="Normal 4 2 2 2 62 2" xfId="15943"/>
    <cellStyle name="Normal 4 2 2 2 62 3" xfId="21060"/>
    <cellStyle name="Normal 4 2 2 2 62 4" xfId="26103"/>
    <cellStyle name="Normal 4 2 2 2 62 5" xfId="31064"/>
    <cellStyle name="Normal 4 2 2 2 62 6" xfId="35922"/>
    <cellStyle name="Normal 4 2 2 2 62 7" xfId="40653"/>
    <cellStyle name="Normal 4 2 2 2 63" xfId="8885"/>
    <cellStyle name="Normal 4 2 2 2 63 2" xfId="15966"/>
    <cellStyle name="Normal 4 2 2 2 63 3" xfId="21083"/>
    <cellStyle name="Normal 4 2 2 2 63 4" xfId="26126"/>
    <cellStyle name="Normal 4 2 2 2 63 5" xfId="31087"/>
    <cellStyle name="Normal 4 2 2 2 63 6" xfId="35945"/>
    <cellStyle name="Normal 4 2 2 2 63 7" xfId="40676"/>
    <cellStyle name="Normal 4 2 2 2 64" xfId="9380"/>
    <cellStyle name="Normal 4 2 2 2 64 2" xfId="16461"/>
    <cellStyle name="Normal 4 2 2 2 64 3" xfId="21578"/>
    <cellStyle name="Normal 4 2 2 2 64 4" xfId="26621"/>
    <cellStyle name="Normal 4 2 2 2 64 5" xfId="31582"/>
    <cellStyle name="Normal 4 2 2 2 64 6" xfId="36440"/>
    <cellStyle name="Normal 4 2 2 2 64 7" xfId="41171"/>
    <cellStyle name="Normal 4 2 2 2 65" xfId="9544"/>
    <cellStyle name="Normal 4 2 2 2 65 2" xfId="16625"/>
    <cellStyle name="Normal 4 2 2 2 65 3" xfId="21742"/>
    <cellStyle name="Normal 4 2 2 2 65 4" xfId="26785"/>
    <cellStyle name="Normal 4 2 2 2 65 5" xfId="31746"/>
    <cellStyle name="Normal 4 2 2 2 65 6" xfId="36604"/>
    <cellStyle name="Normal 4 2 2 2 65 7" xfId="41335"/>
    <cellStyle name="Normal 4 2 2 2 66" xfId="9127"/>
    <cellStyle name="Normal 4 2 2 2 66 2" xfId="16208"/>
    <cellStyle name="Normal 4 2 2 2 66 3" xfId="21325"/>
    <cellStyle name="Normal 4 2 2 2 66 4" xfId="26368"/>
    <cellStyle name="Normal 4 2 2 2 66 5" xfId="31329"/>
    <cellStyle name="Normal 4 2 2 2 66 6" xfId="36187"/>
    <cellStyle name="Normal 4 2 2 2 66 7" xfId="40918"/>
    <cellStyle name="Normal 4 2 2 2 67" xfId="9102"/>
    <cellStyle name="Normal 4 2 2 2 67 2" xfId="16183"/>
    <cellStyle name="Normal 4 2 2 2 67 3" xfId="21300"/>
    <cellStyle name="Normal 4 2 2 2 67 4" xfId="26343"/>
    <cellStyle name="Normal 4 2 2 2 67 5" xfId="31304"/>
    <cellStyle name="Normal 4 2 2 2 67 6" xfId="36162"/>
    <cellStyle name="Normal 4 2 2 2 67 7" xfId="40893"/>
    <cellStyle name="Normal 4 2 2 2 68" xfId="9358"/>
    <cellStyle name="Normal 4 2 2 2 68 2" xfId="16439"/>
    <cellStyle name="Normal 4 2 2 2 68 3" xfId="21556"/>
    <cellStyle name="Normal 4 2 2 2 68 4" xfId="26599"/>
    <cellStyle name="Normal 4 2 2 2 68 5" xfId="31560"/>
    <cellStyle name="Normal 4 2 2 2 68 6" xfId="36418"/>
    <cellStyle name="Normal 4 2 2 2 68 7" xfId="41149"/>
    <cellStyle name="Normal 4 2 2 2 69" xfId="9197"/>
    <cellStyle name="Normal 4 2 2 2 69 2" xfId="16278"/>
    <cellStyle name="Normal 4 2 2 2 69 3" xfId="21395"/>
    <cellStyle name="Normal 4 2 2 2 69 4" xfId="26438"/>
    <cellStyle name="Normal 4 2 2 2 69 5" xfId="31399"/>
    <cellStyle name="Normal 4 2 2 2 69 6" xfId="36257"/>
    <cellStyle name="Normal 4 2 2 2 69 7" xfId="40988"/>
    <cellStyle name="Normal 4 2 2 2 7" xfId="4461"/>
    <cellStyle name="Normal 4 2 2 2 7 2" xfId="6172"/>
    <cellStyle name="Normal 4 2 2 2 7 3" xfId="18276"/>
    <cellStyle name="Normal 4 2 2 2 7 4" xfId="23319"/>
    <cellStyle name="Normal 4 2 2 2 7 5" xfId="28280"/>
    <cellStyle name="Normal 4 2 2 2 7 6" xfId="33138"/>
    <cellStyle name="Normal 4 2 2 2 7 7" xfId="37869"/>
    <cellStyle name="Normal 4 2 2 2 70" xfId="9425"/>
    <cellStyle name="Normal 4 2 2 2 70 2" xfId="16506"/>
    <cellStyle name="Normal 4 2 2 2 70 3" xfId="21623"/>
    <cellStyle name="Normal 4 2 2 2 70 4" xfId="26666"/>
    <cellStyle name="Normal 4 2 2 2 70 5" xfId="31627"/>
    <cellStyle name="Normal 4 2 2 2 70 6" xfId="36485"/>
    <cellStyle name="Normal 4 2 2 2 70 7" xfId="41216"/>
    <cellStyle name="Normal 4 2 2 2 71" xfId="9304"/>
    <cellStyle name="Normal 4 2 2 2 71 2" xfId="16385"/>
    <cellStyle name="Normal 4 2 2 2 71 3" xfId="21502"/>
    <cellStyle name="Normal 4 2 2 2 71 4" xfId="26545"/>
    <cellStyle name="Normal 4 2 2 2 71 5" xfId="31506"/>
    <cellStyle name="Normal 4 2 2 2 71 6" xfId="36364"/>
    <cellStyle name="Normal 4 2 2 2 71 7" xfId="41095"/>
    <cellStyle name="Normal 4 2 2 2 72" xfId="9463"/>
    <cellStyle name="Normal 4 2 2 2 72 2" xfId="16544"/>
    <cellStyle name="Normal 4 2 2 2 72 3" xfId="21661"/>
    <cellStyle name="Normal 4 2 2 2 72 4" xfId="26704"/>
    <cellStyle name="Normal 4 2 2 2 72 5" xfId="31665"/>
    <cellStyle name="Normal 4 2 2 2 72 6" xfId="36523"/>
    <cellStyle name="Normal 4 2 2 2 72 7" xfId="41254"/>
    <cellStyle name="Normal 4 2 2 2 73" xfId="9174"/>
    <cellStyle name="Normal 4 2 2 2 73 2" xfId="16255"/>
    <cellStyle name="Normal 4 2 2 2 73 3" xfId="21372"/>
    <cellStyle name="Normal 4 2 2 2 73 4" xfId="26415"/>
    <cellStyle name="Normal 4 2 2 2 73 5" xfId="31376"/>
    <cellStyle name="Normal 4 2 2 2 73 6" xfId="36234"/>
    <cellStyle name="Normal 4 2 2 2 73 7" xfId="40965"/>
    <cellStyle name="Normal 4 2 2 2 74" xfId="9410"/>
    <cellStyle name="Normal 4 2 2 2 74 2" xfId="16491"/>
    <cellStyle name="Normal 4 2 2 2 74 3" xfId="21608"/>
    <cellStyle name="Normal 4 2 2 2 74 4" xfId="26651"/>
    <cellStyle name="Normal 4 2 2 2 74 5" xfId="31612"/>
    <cellStyle name="Normal 4 2 2 2 74 6" xfId="36470"/>
    <cellStyle name="Normal 4 2 2 2 74 7" xfId="41201"/>
    <cellStyle name="Normal 4 2 2 2 75" xfId="9250"/>
    <cellStyle name="Normal 4 2 2 2 75 2" xfId="16331"/>
    <cellStyle name="Normal 4 2 2 2 75 3" xfId="21448"/>
    <cellStyle name="Normal 4 2 2 2 75 4" xfId="26491"/>
    <cellStyle name="Normal 4 2 2 2 75 5" xfId="31452"/>
    <cellStyle name="Normal 4 2 2 2 75 6" xfId="36310"/>
    <cellStyle name="Normal 4 2 2 2 75 7" xfId="41041"/>
    <cellStyle name="Normal 4 2 2 2 76" xfId="9877"/>
    <cellStyle name="Normal 4 2 2 2 76 2" xfId="16958"/>
    <cellStyle name="Normal 4 2 2 2 76 3" xfId="22075"/>
    <cellStyle name="Normal 4 2 2 2 76 4" xfId="27118"/>
    <cellStyle name="Normal 4 2 2 2 76 5" xfId="32079"/>
    <cellStyle name="Normal 4 2 2 2 76 6" xfId="36937"/>
    <cellStyle name="Normal 4 2 2 2 76 7" xfId="41668"/>
    <cellStyle name="Normal 4 2 2 2 77" xfId="9970"/>
    <cellStyle name="Normal 4 2 2 2 77 2" xfId="17051"/>
    <cellStyle name="Normal 4 2 2 2 77 3" xfId="22168"/>
    <cellStyle name="Normal 4 2 2 2 77 4" xfId="27211"/>
    <cellStyle name="Normal 4 2 2 2 77 5" xfId="32172"/>
    <cellStyle name="Normal 4 2 2 2 77 6" xfId="37030"/>
    <cellStyle name="Normal 4 2 2 2 77 7" xfId="41761"/>
    <cellStyle name="Normal 4 2 2 2 78" xfId="9754"/>
    <cellStyle name="Normal 4 2 2 2 78 2" xfId="16835"/>
    <cellStyle name="Normal 4 2 2 2 78 3" xfId="21952"/>
    <cellStyle name="Normal 4 2 2 2 78 4" xfId="26995"/>
    <cellStyle name="Normal 4 2 2 2 78 5" xfId="31956"/>
    <cellStyle name="Normal 4 2 2 2 78 6" xfId="36814"/>
    <cellStyle name="Normal 4 2 2 2 78 7" xfId="41545"/>
    <cellStyle name="Normal 4 2 2 2 79" xfId="9740"/>
    <cellStyle name="Normal 4 2 2 2 79 2" xfId="16821"/>
    <cellStyle name="Normal 4 2 2 2 79 3" xfId="21938"/>
    <cellStyle name="Normal 4 2 2 2 79 4" xfId="26981"/>
    <cellStyle name="Normal 4 2 2 2 79 5" xfId="31942"/>
    <cellStyle name="Normal 4 2 2 2 79 6" xfId="36800"/>
    <cellStyle name="Normal 4 2 2 2 79 7" xfId="41531"/>
    <cellStyle name="Normal 4 2 2 2 8" xfId="4569"/>
    <cellStyle name="Normal 4 2 2 2 8 2" xfId="5969"/>
    <cellStyle name="Normal 4 2 2 2 8 3" xfId="18071"/>
    <cellStyle name="Normal 4 2 2 2 8 4" xfId="23114"/>
    <cellStyle name="Normal 4 2 2 2 8 5" xfId="28075"/>
    <cellStyle name="Normal 4 2 2 2 8 6" xfId="32933"/>
    <cellStyle name="Normal 4 2 2 2 8 7" xfId="37664"/>
    <cellStyle name="Normal 4 2 2 2 80" xfId="9866"/>
    <cellStyle name="Normal 4 2 2 2 80 2" xfId="16947"/>
    <cellStyle name="Normal 4 2 2 2 80 3" xfId="22064"/>
    <cellStyle name="Normal 4 2 2 2 80 4" xfId="27107"/>
    <cellStyle name="Normal 4 2 2 2 80 5" xfId="32068"/>
    <cellStyle name="Normal 4 2 2 2 80 6" xfId="36926"/>
    <cellStyle name="Normal 4 2 2 2 80 7" xfId="41657"/>
    <cellStyle name="Normal 4 2 2 2 81" xfId="9782"/>
    <cellStyle name="Normal 4 2 2 2 81 2" xfId="16863"/>
    <cellStyle name="Normal 4 2 2 2 81 3" xfId="21980"/>
    <cellStyle name="Normal 4 2 2 2 81 4" xfId="27023"/>
    <cellStyle name="Normal 4 2 2 2 81 5" xfId="31984"/>
    <cellStyle name="Normal 4 2 2 2 81 6" xfId="36842"/>
    <cellStyle name="Normal 4 2 2 2 81 7" xfId="41573"/>
    <cellStyle name="Normal 4 2 2 2 82" xfId="10207"/>
    <cellStyle name="Normal 4 2 2 2 82 2" xfId="17288"/>
    <cellStyle name="Normal 4 2 2 2 82 3" xfId="22405"/>
    <cellStyle name="Normal 4 2 2 2 82 4" xfId="27448"/>
    <cellStyle name="Normal 4 2 2 2 82 5" xfId="32409"/>
    <cellStyle name="Normal 4 2 2 2 82 6" xfId="37267"/>
    <cellStyle name="Normal 4 2 2 2 82 7" xfId="41998"/>
    <cellStyle name="Normal 4 2 2 2 83" xfId="10300"/>
    <cellStyle name="Normal 4 2 2 2 83 2" xfId="17381"/>
    <cellStyle name="Normal 4 2 2 2 83 3" xfId="22498"/>
    <cellStyle name="Normal 4 2 2 2 83 4" xfId="27541"/>
    <cellStyle name="Normal 4 2 2 2 83 5" xfId="32502"/>
    <cellStyle name="Normal 4 2 2 2 83 6" xfId="37360"/>
    <cellStyle name="Normal 4 2 2 2 83 7" xfId="42091"/>
    <cellStyle name="Normal 4 2 2 2 84" xfId="10084"/>
    <cellStyle name="Normal 4 2 2 2 84 2" xfId="17165"/>
    <cellStyle name="Normal 4 2 2 2 84 3" xfId="22282"/>
    <cellStyle name="Normal 4 2 2 2 84 4" xfId="27325"/>
    <cellStyle name="Normal 4 2 2 2 84 5" xfId="32286"/>
    <cellStyle name="Normal 4 2 2 2 84 6" xfId="37144"/>
    <cellStyle name="Normal 4 2 2 2 84 7" xfId="41875"/>
    <cellStyle name="Normal 4 2 2 2 85" xfId="10070"/>
    <cellStyle name="Normal 4 2 2 2 85 2" xfId="17151"/>
    <cellStyle name="Normal 4 2 2 2 85 3" xfId="22268"/>
    <cellStyle name="Normal 4 2 2 2 85 4" xfId="27311"/>
    <cellStyle name="Normal 4 2 2 2 85 5" xfId="32272"/>
    <cellStyle name="Normal 4 2 2 2 85 6" xfId="37130"/>
    <cellStyle name="Normal 4 2 2 2 85 7" xfId="41861"/>
    <cellStyle name="Normal 4 2 2 2 86" xfId="10196"/>
    <cellStyle name="Normal 4 2 2 2 86 2" xfId="17277"/>
    <cellStyle name="Normal 4 2 2 2 86 3" xfId="22394"/>
    <cellStyle name="Normal 4 2 2 2 86 4" xfId="27437"/>
    <cellStyle name="Normal 4 2 2 2 86 5" xfId="32398"/>
    <cellStyle name="Normal 4 2 2 2 86 6" xfId="37256"/>
    <cellStyle name="Normal 4 2 2 2 86 7" xfId="41987"/>
    <cellStyle name="Normal 4 2 2 2 87" xfId="10112"/>
    <cellStyle name="Normal 4 2 2 2 87 2" xfId="17193"/>
    <cellStyle name="Normal 4 2 2 2 87 3" xfId="22310"/>
    <cellStyle name="Normal 4 2 2 2 87 4" xfId="27353"/>
    <cellStyle name="Normal 4 2 2 2 87 5" xfId="32314"/>
    <cellStyle name="Normal 4 2 2 2 87 6" xfId="37172"/>
    <cellStyle name="Normal 4 2 2 2 87 7" xfId="41903"/>
    <cellStyle name="Normal 4 2 2 2 88" xfId="13021"/>
    <cellStyle name="Normal 4 2 2 2 89" xfId="13444"/>
    <cellStyle name="Normal 4 2 2 2 9" xfId="4618"/>
    <cellStyle name="Normal 4 2 2 2 9 2" xfId="6252"/>
    <cellStyle name="Normal 4 2 2 2 9 3" xfId="18356"/>
    <cellStyle name="Normal 4 2 2 2 9 4" xfId="23399"/>
    <cellStyle name="Normal 4 2 2 2 9 5" xfId="28360"/>
    <cellStyle name="Normal 4 2 2 2 9 6" xfId="33218"/>
    <cellStyle name="Normal 4 2 2 2 9 7" xfId="37949"/>
    <cellStyle name="Normal 4 2 2 2 90" xfId="13866"/>
    <cellStyle name="Normal 4 2 2 2 91" xfId="17601"/>
    <cellStyle name="Normal 4 2 2 2 92" xfId="22694"/>
    <cellStyle name="Normal 4 2 2 2 93" xfId="27710"/>
    <cellStyle name="Normal 4 2 2 3" xfId="2518"/>
    <cellStyle name="Normal 4 2 2 3 2" xfId="13064"/>
    <cellStyle name="Normal 4 2 2 3 3" xfId="11811"/>
    <cellStyle name="Normal 4 2 2 3 4" xfId="13625"/>
    <cellStyle name="Normal 4 2 2 3 5" xfId="12760"/>
    <cellStyle name="Normal 4 2 2 3 6" xfId="11296"/>
    <cellStyle name="Normal 4 2 2 3 7" xfId="11673"/>
    <cellStyle name="Normal 4 2 2 4" xfId="12241"/>
    <cellStyle name="Normal 4 2 2 5" xfId="11751"/>
    <cellStyle name="Normal 4 2 2 6" xfId="11309"/>
    <cellStyle name="Normal 4 2 2 7" xfId="12685"/>
    <cellStyle name="Normal 4 2 2 8" xfId="14185"/>
    <cellStyle name="Normal 4 2 2 9" xfId="17886"/>
    <cellStyle name="Normal 4 2 20" xfId="5123"/>
    <cellStyle name="Normal 4 2 20 2" xfId="6702"/>
    <cellStyle name="Normal 4 2 20 3" xfId="18823"/>
    <cellStyle name="Normal 4 2 20 4" xfId="23866"/>
    <cellStyle name="Normal 4 2 20 5" xfId="28827"/>
    <cellStyle name="Normal 4 2 20 6" xfId="33685"/>
    <cellStyle name="Normal 4 2 20 7" xfId="38416"/>
    <cellStyle name="Normal 4 2 21" xfId="5303"/>
    <cellStyle name="Normal 4 2 21 2" xfId="6679"/>
    <cellStyle name="Normal 4 2 21 3" xfId="18799"/>
    <cellStyle name="Normal 4 2 21 4" xfId="23842"/>
    <cellStyle name="Normal 4 2 21 5" xfId="28803"/>
    <cellStyle name="Normal 4 2 21 6" xfId="33661"/>
    <cellStyle name="Normal 4 2 21 7" xfId="38392"/>
    <cellStyle name="Normal 4 2 22" xfId="5226"/>
    <cellStyle name="Normal 4 2 22 2" xfId="6755"/>
    <cellStyle name="Normal 4 2 22 3" xfId="18876"/>
    <cellStyle name="Normal 4 2 22 4" xfId="23919"/>
    <cellStyle name="Normal 4 2 22 5" xfId="28880"/>
    <cellStyle name="Normal 4 2 22 6" xfId="33738"/>
    <cellStyle name="Normal 4 2 22 7" xfId="38469"/>
    <cellStyle name="Normal 4 2 23" xfId="5523"/>
    <cellStyle name="Normal 4 2 23 2" xfId="6727"/>
    <cellStyle name="Normal 4 2 23 3" xfId="18848"/>
    <cellStyle name="Normal 4 2 23 4" xfId="23891"/>
    <cellStyle name="Normal 4 2 23 5" xfId="28852"/>
    <cellStyle name="Normal 4 2 23 6" xfId="33710"/>
    <cellStyle name="Normal 4 2 23 7" xfId="38441"/>
    <cellStyle name="Normal 4 2 24" xfId="5451"/>
    <cellStyle name="Normal 4 2 24 2" xfId="7016"/>
    <cellStyle name="Normal 4 2 24 3" xfId="19155"/>
    <cellStyle name="Normal 4 2 24 4" xfId="24198"/>
    <cellStyle name="Normal 4 2 24 5" xfId="29159"/>
    <cellStyle name="Normal 4 2 24 6" xfId="34017"/>
    <cellStyle name="Normal 4 2 24 7" xfId="38748"/>
    <cellStyle name="Normal 4 2 25" xfId="5410"/>
    <cellStyle name="Normal 4 2 25 2" xfId="6924"/>
    <cellStyle name="Normal 4 2 25 3" xfId="19052"/>
    <cellStyle name="Normal 4 2 25 4" xfId="24095"/>
    <cellStyle name="Normal 4 2 25 5" xfId="29056"/>
    <cellStyle name="Normal 4 2 25 6" xfId="33914"/>
    <cellStyle name="Normal 4 2 25 7" xfId="38645"/>
    <cellStyle name="Normal 4 2 26" xfId="5567"/>
    <cellStyle name="Normal 4 2 26 2" xfId="7148"/>
    <cellStyle name="Normal 4 2 26 3" xfId="19300"/>
    <cellStyle name="Normal 4 2 26 4" xfId="24343"/>
    <cellStyle name="Normal 4 2 26 5" xfId="29304"/>
    <cellStyle name="Normal 4 2 26 6" xfId="34162"/>
    <cellStyle name="Normal 4 2 26 7" xfId="38893"/>
    <cellStyle name="Normal 4 2 27" xfId="5234"/>
    <cellStyle name="Normal 4 2 27 2" xfId="7075"/>
    <cellStyle name="Normal 4 2 27 3" xfId="19219"/>
    <cellStyle name="Normal 4 2 27 4" xfId="24262"/>
    <cellStyle name="Normal 4 2 27 5" xfId="29223"/>
    <cellStyle name="Normal 4 2 27 6" xfId="34081"/>
    <cellStyle name="Normal 4 2 27 7" xfId="38812"/>
    <cellStyle name="Normal 4 2 28" xfId="5493"/>
    <cellStyle name="Normal 4 2 28 2" xfId="7347"/>
    <cellStyle name="Normal 4 2 28 3" xfId="19520"/>
    <cellStyle name="Normal 4 2 28 4" xfId="24563"/>
    <cellStyle name="Normal 4 2 28 5" xfId="29524"/>
    <cellStyle name="Normal 4 2 28 6" xfId="34382"/>
    <cellStyle name="Normal 4 2 28 7" xfId="39113"/>
    <cellStyle name="Normal 4 2 29" xfId="5495"/>
    <cellStyle name="Normal 4 2 29 2" xfId="7211"/>
    <cellStyle name="Normal 4 2 29 3" xfId="19368"/>
    <cellStyle name="Normal 4 2 29 4" xfId="24411"/>
    <cellStyle name="Normal 4 2 29 5" xfId="29372"/>
    <cellStyle name="Normal 4 2 29 6" xfId="34230"/>
    <cellStyle name="Normal 4 2 29 7" xfId="38961"/>
    <cellStyle name="Normal 4 2 3" xfId="1690"/>
    <cellStyle name="Normal 4 2 3 2" xfId="2501"/>
    <cellStyle name="Normal 4 2 3 2 10" xfId="4698"/>
    <cellStyle name="Normal 4 2 3 2 10 2" xfId="5877"/>
    <cellStyle name="Normal 4 2 3 2 10 3" xfId="17977"/>
    <cellStyle name="Normal 4 2 3 2 10 4" xfId="23020"/>
    <cellStyle name="Normal 4 2 3 2 10 5" xfId="27981"/>
    <cellStyle name="Normal 4 2 3 2 10 6" xfId="32839"/>
    <cellStyle name="Normal 4 2 3 2 10 7" xfId="37570"/>
    <cellStyle name="Normal 4 2 3 2 11" xfId="4855"/>
    <cellStyle name="Normal 4 2 3 2 11 2" xfId="6428"/>
    <cellStyle name="Normal 4 2 3 2 11 3" xfId="18538"/>
    <cellStyle name="Normal 4 2 3 2 11 4" xfId="23581"/>
    <cellStyle name="Normal 4 2 3 2 11 5" xfId="28542"/>
    <cellStyle name="Normal 4 2 3 2 11 6" xfId="33400"/>
    <cellStyle name="Normal 4 2 3 2 11 7" xfId="38131"/>
    <cellStyle name="Normal 4 2 3 2 12" xfId="4774"/>
    <cellStyle name="Normal 4 2 3 2 12 2" xfId="5890"/>
    <cellStyle name="Normal 4 2 3 2 12 3" xfId="17990"/>
    <cellStyle name="Normal 4 2 3 2 12 4" xfId="23033"/>
    <cellStyle name="Normal 4 2 3 2 12 5" xfId="27994"/>
    <cellStyle name="Normal 4 2 3 2 12 6" xfId="32852"/>
    <cellStyle name="Normal 4 2 3 2 12 7" xfId="37583"/>
    <cellStyle name="Normal 4 2 3 2 13" xfId="4901"/>
    <cellStyle name="Normal 4 2 3 2 13 2" xfId="5946"/>
    <cellStyle name="Normal 4 2 3 2 13 3" xfId="18048"/>
    <cellStyle name="Normal 4 2 3 2 13 4" xfId="23091"/>
    <cellStyle name="Normal 4 2 3 2 13 5" xfId="28052"/>
    <cellStyle name="Normal 4 2 3 2 13 6" xfId="32910"/>
    <cellStyle name="Normal 4 2 3 2 13 7" xfId="37641"/>
    <cellStyle name="Normal 4 2 3 2 14" xfId="4904"/>
    <cellStyle name="Normal 4 2 3 2 14 2" xfId="5819"/>
    <cellStyle name="Normal 4 2 3 2 14 3" xfId="17918"/>
    <cellStyle name="Normal 4 2 3 2 14 4" xfId="22961"/>
    <cellStyle name="Normal 4 2 3 2 14 5" xfId="27922"/>
    <cellStyle name="Normal 4 2 3 2 14 6" xfId="32780"/>
    <cellStyle name="Normal 4 2 3 2 14 7" xfId="37511"/>
    <cellStyle name="Normal 4 2 3 2 15" xfId="5080"/>
    <cellStyle name="Normal 4 2 3 2 15 2" xfId="5944"/>
    <cellStyle name="Normal 4 2 3 2 15 3" xfId="18046"/>
    <cellStyle name="Normal 4 2 3 2 15 4" xfId="23089"/>
    <cellStyle name="Normal 4 2 3 2 15 5" xfId="28050"/>
    <cellStyle name="Normal 4 2 3 2 15 6" xfId="32908"/>
    <cellStyle name="Normal 4 2 3 2 15 7" xfId="37639"/>
    <cellStyle name="Normal 4 2 3 2 16" xfId="4993"/>
    <cellStyle name="Normal 4 2 3 2 16 2" xfId="5867"/>
    <cellStyle name="Normal 4 2 3 2 16 3" xfId="17967"/>
    <cellStyle name="Normal 4 2 3 2 16 4" xfId="23010"/>
    <cellStyle name="Normal 4 2 3 2 16 5" xfId="27971"/>
    <cellStyle name="Normal 4 2 3 2 16 6" xfId="32829"/>
    <cellStyle name="Normal 4 2 3 2 16 7" xfId="37560"/>
    <cellStyle name="Normal 4 2 3 2 17" xfId="4969"/>
    <cellStyle name="Normal 4 2 3 2 17 2" xfId="6136"/>
    <cellStyle name="Normal 4 2 3 2 17 3" xfId="18240"/>
    <cellStyle name="Normal 4 2 3 2 17 4" xfId="23283"/>
    <cellStyle name="Normal 4 2 3 2 17 5" xfId="28244"/>
    <cellStyle name="Normal 4 2 3 2 17 6" xfId="33102"/>
    <cellStyle name="Normal 4 2 3 2 17 7" xfId="37833"/>
    <cellStyle name="Normal 4 2 3 2 18" xfId="5137"/>
    <cellStyle name="Normal 4 2 3 2 18 2" xfId="6774"/>
    <cellStyle name="Normal 4 2 3 2 18 3" xfId="18895"/>
    <cellStyle name="Normal 4 2 3 2 18 4" xfId="23938"/>
    <cellStyle name="Normal 4 2 3 2 18 5" xfId="28899"/>
    <cellStyle name="Normal 4 2 3 2 18 6" xfId="33757"/>
    <cellStyle name="Normal 4 2 3 2 18 7" xfId="38488"/>
    <cellStyle name="Normal 4 2 3 2 19" xfId="5434"/>
    <cellStyle name="Normal 4 2 3 2 19 2" xfId="6693"/>
    <cellStyle name="Normal 4 2 3 2 19 3" xfId="18814"/>
    <cellStyle name="Normal 4 2 3 2 19 4" xfId="23857"/>
    <cellStyle name="Normal 4 2 3 2 19 5" xfId="28818"/>
    <cellStyle name="Normal 4 2 3 2 19 6" xfId="33676"/>
    <cellStyle name="Normal 4 2 3 2 19 7" xfId="38407"/>
    <cellStyle name="Normal 4 2 3 2 2" xfId="4299"/>
    <cellStyle name="Normal 4 2 3 2 2 2" xfId="6213"/>
    <cellStyle name="Normal 4 2 3 2 2 3" xfId="18317"/>
    <cellStyle name="Normal 4 2 3 2 2 4" xfId="23360"/>
    <cellStyle name="Normal 4 2 3 2 2 5" xfId="28321"/>
    <cellStyle name="Normal 4 2 3 2 2 6" xfId="33179"/>
    <cellStyle name="Normal 4 2 3 2 2 7" xfId="37910"/>
    <cellStyle name="Normal 4 2 3 2 20" xfId="5259"/>
    <cellStyle name="Normal 4 2 3 2 20 2" xfId="6740"/>
    <cellStyle name="Normal 4 2 3 2 20 3" xfId="18861"/>
    <cellStyle name="Normal 4 2 3 2 20 4" xfId="23904"/>
    <cellStyle name="Normal 4 2 3 2 20 5" xfId="28865"/>
    <cellStyle name="Normal 4 2 3 2 20 6" xfId="33723"/>
    <cellStyle name="Normal 4 2 3 2 20 7" xfId="38454"/>
    <cellStyle name="Normal 4 2 3 2 21" xfId="5530"/>
    <cellStyle name="Normal 4 2 3 2 21 2" xfId="6737"/>
    <cellStyle name="Normal 4 2 3 2 21 3" xfId="18858"/>
    <cellStyle name="Normal 4 2 3 2 21 4" xfId="23901"/>
    <cellStyle name="Normal 4 2 3 2 21 5" xfId="28862"/>
    <cellStyle name="Normal 4 2 3 2 21 6" xfId="33720"/>
    <cellStyle name="Normal 4 2 3 2 21 7" xfId="38451"/>
    <cellStyle name="Normal 4 2 3 2 22" xfId="5542"/>
    <cellStyle name="Normal 4 2 3 2 22 2" xfId="7178"/>
    <cellStyle name="Normal 4 2 3 2 22 3" xfId="19333"/>
    <cellStyle name="Normal 4 2 3 2 22 4" xfId="24376"/>
    <cellStyle name="Normal 4 2 3 2 22 5" xfId="29337"/>
    <cellStyle name="Normal 4 2 3 2 22 6" xfId="34195"/>
    <cellStyle name="Normal 4 2 3 2 22 7" xfId="38926"/>
    <cellStyle name="Normal 4 2 3 2 23" xfId="5302"/>
    <cellStyle name="Normal 4 2 3 2 23 2" xfId="6970"/>
    <cellStyle name="Normal 4 2 3 2 23 3" xfId="19102"/>
    <cellStyle name="Normal 4 2 3 2 23 4" xfId="24145"/>
    <cellStyle name="Normal 4 2 3 2 23 5" xfId="29106"/>
    <cellStyle name="Normal 4 2 3 2 23 6" xfId="33964"/>
    <cellStyle name="Normal 4 2 3 2 23 7" xfId="38695"/>
    <cellStyle name="Normal 4 2 3 2 24" xfId="5398"/>
    <cellStyle name="Normal 4 2 3 2 24 2" xfId="7105"/>
    <cellStyle name="Normal 4 2 3 2 24 3" xfId="19251"/>
    <cellStyle name="Normal 4 2 3 2 24 4" xfId="24294"/>
    <cellStyle name="Normal 4 2 3 2 24 5" xfId="29255"/>
    <cellStyle name="Normal 4 2 3 2 24 6" xfId="34113"/>
    <cellStyle name="Normal 4 2 3 2 24 7" xfId="38844"/>
    <cellStyle name="Normal 4 2 3 2 25" xfId="5342"/>
    <cellStyle name="Normal 4 2 3 2 25 2" xfId="7094"/>
    <cellStyle name="Normal 4 2 3 2 25 3" xfId="19239"/>
    <cellStyle name="Normal 4 2 3 2 25 4" xfId="24282"/>
    <cellStyle name="Normal 4 2 3 2 25 5" xfId="29243"/>
    <cellStyle name="Normal 4 2 3 2 25 6" xfId="34101"/>
    <cellStyle name="Normal 4 2 3 2 25 7" xfId="38832"/>
    <cellStyle name="Normal 4 2 3 2 26" xfId="5541"/>
    <cellStyle name="Normal 4 2 3 2 26 2" xfId="7044"/>
    <cellStyle name="Normal 4 2 3 2 26 3" xfId="19185"/>
    <cellStyle name="Normal 4 2 3 2 26 4" xfId="24228"/>
    <cellStyle name="Normal 4 2 3 2 26 5" xfId="29189"/>
    <cellStyle name="Normal 4 2 3 2 26 6" xfId="34047"/>
    <cellStyle name="Normal 4 2 3 2 26 7" xfId="38778"/>
    <cellStyle name="Normal 4 2 3 2 27" xfId="5291"/>
    <cellStyle name="Normal 4 2 3 2 27 2" xfId="7273"/>
    <cellStyle name="Normal 4 2 3 2 27 3" xfId="19438"/>
    <cellStyle name="Normal 4 2 3 2 27 4" xfId="24481"/>
    <cellStyle name="Normal 4 2 3 2 27 5" xfId="29442"/>
    <cellStyle name="Normal 4 2 3 2 27 6" xfId="34300"/>
    <cellStyle name="Normal 4 2 3 2 27 7" xfId="39031"/>
    <cellStyle name="Normal 4 2 3 2 28" xfId="5784"/>
    <cellStyle name="Normal 4 2 3 2 28 2" xfId="14401"/>
    <cellStyle name="Normal 4 2 3 2 28 3" xfId="19392"/>
    <cellStyle name="Normal 4 2 3 2 28 4" xfId="24435"/>
    <cellStyle name="Normal 4 2 3 2 28 5" xfId="29396"/>
    <cellStyle name="Normal 4 2 3 2 28 6" xfId="34254"/>
    <cellStyle name="Normal 4 2 3 2 28 7" xfId="38985"/>
    <cellStyle name="Normal 4 2 3 2 29" xfId="7355"/>
    <cellStyle name="Normal 4 2 3 2 29 2" xfId="14473"/>
    <cellStyle name="Normal 4 2 3 2 29 3" xfId="19528"/>
    <cellStyle name="Normal 4 2 3 2 29 4" xfId="24571"/>
    <cellStyle name="Normal 4 2 3 2 29 5" xfId="29532"/>
    <cellStyle name="Normal 4 2 3 2 29 6" xfId="34390"/>
    <cellStyle name="Normal 4 2 3 2 29 7" xfId="39121"/>
    <cellStyle name="Normal 4 2 3 2 3" xfId="4235"/>
    <cellStyle name="Normal 4 2 3 2 3 2" xfId="5923"/>
    <cellStyle name="Normal 4 2 3 2 3 3" xfId="18025"/>
    <cellStyle name="Normal 4 2 3 2 3 4" xfId="23068"/>
    <cellStyle name="Normal 4 2 3 2 3 5" xfId="28029"/>
    <cellStyle name="Normal 4 2 3 2 3 6" xfId="32887"/>
    <cellStyle name="Normal 4 2 3 2 3 7" xfId="37618"/>
    <cellStyle name="Normal 4 2 3 2 30" xfId="6934"/>
    <cellStyle name="Normal 4 2 3 2 30 2" xfId="14249"/>
    <cellStyle name="Normal 4 2 3 2 30 3" xfId="19063"/>
    <cellStyle name="Normal 4 2 3 2 30 4" xfId="24106"/>
    <cellStyle name="Normal 4 2 3 2 30 5" xfId="29067"/>
    <cellStyle name="Normal 4 2 3 2 30 6" xfId="33925"/>
    <cellStyle name="Normal 4 2 3 2 30 7" xfId="38656"/>
    <cellStyle name="Normal 4 2 3 2 31" xfId="7324"/>
    <cellStyle name="Normal 4 2 3 2 31 2" xfId="14453"/>
    <cellStyle name="Normal 4 2 3 2 31 3" xfId="19495"/>
    <cellStyle name="Normal 4 2 3 2 31 4" xfId="24538"/>
    <cellStyle name="Normal 4 2 3 2 31 5" xfId="29499"/>
    <cellStyle name="Normal 4 2 3 2 31 6" xfId="34357"/>
    <cellStyle name="Normal 4 2 3 2 31 7" xfId="39088"/>
    <cellStyle name="Normal 4 2 3 2 32" xfId="6945"/>
    <cellStyle name="Normal 4 2 3 2 32 2" xfId="14258"/>
    <cellStyle name="Normal 4 2 3 2 32 3" xfId="19075"/>
    <cellStyle name="Normal 4 2 3 2 32 4" xfId="24118"/>
    <cellStyle name="Normal 4 2 3 2 32 5" xfId="29079"/>
    <cellStyle name="Normal 4 2 3 2 32 6" xfId="33937"/>
    <cellStyle name="Normal 4 2 3 2 32 7" xfId="38668"/>
    <cellStyle name="Normal 4 2 3 2 33" xfId="6986"/>
    <cellStyle name="Normal 4 2 3 2 33 2" xfId="14281"/>
    <cellStyle name="Normal 4 2 3 2 33 3" xfId="19120"/>
    <cellStyle name="Normal 4 2 3 2 33 4" xfId="24163"/>
    <cellStyle name="Normal 4 2 3 2 33 5" xfId="29124"/>
    <cellStyle name="Normal 4 2 3 2 33 6" xfId="33982"/>
    <cellStyle name="Normal 4 2 3 2 33 7" xfId="38713"/>
    <cellStyle name="Normal 4 2 3 2 34" xfId="7839"/>
    <cellStyle name="Normal 4 2 3 2 34 2" xfId="14919"/>
    <cellStyle name="Normal 4 2 3 2 34 3" xfId="20036"/>
    <cellStyle name="Normal 4 2 3 2 34 4" xfId="25079"/>
    <cellStyle name="Normal 4 2 3 2 34 5" xfId="30040"/>
    <cellStyle name="Normal 4 2 3 2 34 6" xfId="34898"/>
    <cellStyle name="Normal 4 2 3 2 34 7" xfId="39629"/>
    <cellStyle name="Normal 4 2 3 2 35" xfId="7580"/>
    <cellStyle name="Normal 4 2 3 2 35 2" xfId="14660"/>
    <cellStyle name="Normal 4 2 3 2 35 3" xfId="19777"/>
    <cellStyle name="Normal 4 2 3 2 35 4" xfId="24820"/>
    <cellStyle name="Normal 4 2 3 2 35 5" xfId="29781"/>
    <cellStyle name="Normal 4 2 3 2 35 6" xfId="34639"/>
    <cellStyle name="Normal 4 2 3 2 35 7" xfId="39370"/>
    <cellStyle name="Normal 4 2 3 2 36" xfId="7748"/>
    <cellStyle name="Normal 4 2 3 2 36 2" xfId="14828"/>
    <cellStyle name="Normal 4 2 3 2 36 3" xfId="19945"/>
    <cellStyle name="Normal 4 2 3 2 36 4" xfId="24988"/>
    <cellStyle name="Normal 4 2 3 2 36 5" xfId="29949"/>
    <cellStyle name="Normal 4 2 3 2 36 6" xfId="34807"/>
    <cellStyle name="Normal 4 2 3 2 36 7" xfId="39538"/>
    <cellStyle name="Normal 4 2 3 2 37" xfId="7736"/>
    <cellStyle name="Normal 4 2 3 2 37 2" xfId="14816"/>
    <cellStyle name="Normal 4 2 3 2 37 3" xfId="19933"/>
    <cellStyle name="Normal 4 2 3 2 37 4" xfId="24976"/>
    <cellStyle name="Normal 4 2 3 2 37 5" xfId="29937"/>
    <cellStyle name="Normal 4 2 3 2 37 6" xfId="34795"/>
    <cellStyle name="Normal 4 2 3 2 37 7" xfId="39526"/>
    <cellStyle name="Normal 4 2 3 2 38" xfId="7675"/>
    <cellStyle name="Normal 4 2 3 2 38 2" xfId="14755"/>
    <cellStyle name="Normal 4 2 3 2 38 3" xfId="19872"/>
    <cellStyle name="Normal 4 2 3 2 38 4" xfId="24915"/>
    <cellStyle name="Normal 4 2 3 2 38 5" xfId="29876"/>
    <cellStyle name="Normal 4 2 3 2 38 6" xfId="34734"/>
    <cellStyle name="Normal 4 2 3 2 38 7" xfId="39465"/>
    <cellStyle name="Normal 4 2 3 2 39" xfId="7963"/>
    <cellStyle name="Normal 4 2 3 2 39 2" xfId="15043"/>
    <cellStyle name="Normal 4 2 3 2 39 3" xfId="20160"/>
    <cellStyle name="Normal 4 2 3 2 39 4" xfId="25203"/>
    <cellStyle name="Normal 4 2 3 2 39 5" xfId="30164"/>
    <cellStyle name="Normal 4 2 3 2 39 6" xfId="35022"/>
    <cellStyle name="Normal 4 2 3 2 39 7" xfId="39753"/>
    <cellStyle name="Normal 4 2 3 2 4" xfId="4215"/>
    <cellStyle name="Normal 4 2 3 2 4 2" xfId="6110"/>
    <cellStyle name="Normal 4 2 3 2 4 3" xfId="18214"/>
    <cellStyle name="Normal 4 2 3 2 4 4" xfId="23257"/>
    <cellStyle name="Normal 4 2 3 2 4 5" xfId="28218"/>
    <cellStyle name="Normal 4 2 3 2 4 6" xfId="33076"/>
    <cellStyle name="Normal 4 2 3 2 4 7" xfId="37807"/>
    <cellStyle name="Normal 4 2 3 2 40" xfId="7906"/>
    <cellStyle name="Normal 4 2 3 2 40 2" xfId="14986"/>
    <cellStyle name="Normal 4 2 3 2 40 3" xfId="20103"/>
    <cellStyle name="Normal 4 2 3 2 40 4" xfId="25146"/>
    <cellStyle name="Normal 4 2 3 2 40 5" xfId="30107"/>
    <cellStyle name="Normal 4 2 3 2 40 6" xfId="34965"/>
    <cellStyle name="Normal 4 2 3 2 40 7" xfId="39696"/>
    <cellStyle name="Normal 4 2 3 2 41" xfId="8077"/>
    <cellStyle name="Normal 4 2 3 2 41 2" xfId="15157"/>
    <cellStyle name="Normal 4 2 3 2 41 3" xfId="20274"/>
    <cellStyle name="Normal 4 2 3 2 41 4" xfId="25317"/>
    <cellStyle name="Normal 4 2 3 2 41 5" xfId="30278"/>
    <cellStyle name="Normal 4 2 3 2 41 6" xfId="35136"/>
    <cellStyle name="Normal 4 2 3 2 41 7" xfId="39867"/>
    <cellStyle name="Normal 4 2 3 2 42" xfId="7537"/>
    <cellStyle name="Normal 4 2 3 2 42 2" xfId="14615"/>
    <cellStyle name="Normal 4 2 3 2 42 3" xfId="19732"/>
    <cellStyle name="Normal 4 2 3 2 42 4" xfId="24775"/>
    <cellStyle name="Normal 4 2 3 2 42 5" xfId="29736"/>
    <cellStyle name="Normal 4 2 3 2 42 6" xfId="34594"/>
    <cellStyle name="Normal 4 2 3 2 42 7" xfId="39325"/>
    <cellStyle name="Normal 4 2 3 2 43" xfId="8034"/>
    <cellStyle name="Normal 4 2 3 2 43 2" xfId="15114"/>
    <cellStyle name="Normal 4 2 3 2 43 3" xfId="20231"/>
    <cellStyle name="Normal 4 2 3 2 43 4" xfId="25274"/>
    <cellStyle name="Normal 4 2 3 2 43 5" xfId="30235"/>
    <cellStyle name="Normal 4 2 3 2 43 6" xfId="35093"/>
    <cellStyle name="Normal 4 2 3 2 43 7" xfId="39824"/>
    <cellStyle name="Normal 4 2 3 2 44" xfId="7549"/>
    <cellStyle name="Normal 4 2 3 2 44 2" xfId="14627"/>
    <cellStyle name="Normal 4 2 3 2 44 3" xfId="19744"/>
    <cellStyle name="Normal 4 2 3 2 44 4" xfId="24787"/>
    <cellStyle name="Normal 4 2 3 2 44 5" xfId="29748"/>
    <cellStyle name="Normal 4 2 3 2 44 6" xfId="34606"/>
    <cellStyle name="Normal 4 2 3 2 44 7" xfId="39337"/>
    <cellStyle name="Normal 4 2 3 2 45" xfId="7601"/>
    <cellStyle name="Normal 4 2 3 2 45 2" xfId="14681"/>
    <cellStyle name="Normal 4 2 3 2 45 3" xfId="19798"/>
    <cellStyle name="Normal 4 2 3 2 45 4" xfId="24841"/>
    <cellStyle name="Normal 4 2 3 2 45 5" xfId="29802"/>
    <cellStyle name="Normal 4 2 3 2 45 6" xfId="34660"/>
    <cellStyle name="Normal 4 2 3 2 45 7" xfId="39391"/>
    <cellStyle name="Normal 4 2 3 2 46" xfId="7485"/>
    <cellStyle name="Normal 4 2 3 2 46 2" xfId="14561"/>
    <cellStyle name="Normal 4 2 3 2 46 3" xfId="19678"/>
    <cellStyle name="Normal 4 2 3 2 46 4" xfId="24721"/>
    <cellStyle name="Normal 4 2 3 2 46 5" xfId="29682"/>
    <cellStyle name="Normal 4 2 3 2 46 6" xfId="34540"/>
    <cellStyle name="Normal 4 2 3 2 46 7" xfId="39271"/>
    <cellStyle name="Normal 4 2 3 2 47" xfId="7599"/>
    <cellStyle name="Normal 4 2 3 2 47 2" xfId="14679"/>
    <cellStyle name="Normal 4 2 3 2 47 3" xfId="19796"/>
    <cellStyle name="Normal 4 2 3 2 47 4" xfId="24839"/>
    <cellStyle name="Normal 4 2 3 2 47 5" xfId="29800"/>
    <cellStyle name="Normal 4 2 3 2 47 6" xfId="34658"/>
    <cellStyle name="Normal 4 2 3 2 47 7" xfId="39389"/>
    <cellStyle name="Normal 4 2 3 2 48" xfId="8633"/>
    <cellStyle name="Normal 4 2 3 2 48 2" xfId="15714"/>
    <cellStyle name="Normal 4 2 3 2 48 3" xfId="20831"/>
    <cellStyle name="Normal 4 2 3 2 48 4" xfId="25874"/>
    <cellStyle name="Normal 4 2 3 2 48 5" xfId="30835"/>
    <cellStyle name="Normal 4 2 3 2 48 6" xfId="35693"/>
    <cellStyle name="Normal 4 2 3 2 48 7" xfId="40424"/>
    <cellStyle name="Normal 4 2 3 2 49" xfId="8359"/>
    <cellStyle name="Normal 4 2 3 2 49 2" xfId="15440"/>
    <cellStyle name="Normal 4 2 3 2 49 3" xfId="20557"/>
    <cellStyle name="Normal 4 2 3 2 49 4" xfId="25600"/>
    <cellStyle name="Normal 4 2 3 2 49 5" xfId="30561"/>
    <cellStyle name="Normal 4 2 3 2 49 6" xfId="35419"/>
    <cellStyle name="Normal 4 2 3 2 49 7" xfId="40150"/>
    <cellStyle name="Normal 4 2 3 2 5" xfId="4416"/>
    <cellStyle name="Normal 4 2 3 2 5 2" xfId="6096"/>
    <cellStyle name="Normal 4 2 3 2 5 3" xfId="18200"/>
    <cellStyle name="Normal 4 2 3 2 5 4" xfId="23243"/>
    <cellStyle name="Normal 4 2 3 2 5 5" xfId="28204"/>
    <cellStyle name="Normal 4 2 3 2 5 6" xfId="33062"/>
    <cellStyle name="Normal 4 2 3 2 5 7" xfId="37793"/>
    <cellStyle name="Normal 4 2 3 2 50" xfId="8536"/>
    <cellStyle name="Normal 4 2 3 2 50 2" xfId="15617"/>
    <cellStyle name="Normal 4 2 3 2 50 3" xfId="20734"/>
    <cellStyle name="Normal 4 2 3 2 50 4" xfId="25777"/>
    <cellStyle name="Normal 4 2 3 2 50 5" xfId="30738"/>
    <cellStyle name="Normal 4 2 3 2 50 6" xfId="35596"/>
    <cellStyle name="Normal 4 2 3 2 50 7" xfId="40327"/>
    <cellStyle name="Normal 4 2 3 2 51" xfId="8520"/>
    <cellStyle name="Normal 4 2 3 2 51 2" xfId="15601"/>
    <cellStyle name="Normal 4 2 3 2 51 3" xfId="20718"/>
    <cellStyle name="Normal 4 2 3 2 51 4" xfId="25761"/>
    <cellStyle name="Normal 4 2 3 2 51 5" xfId="30722"/>
    <cellStyle name="Normal 4 2 3 2 51 6" xfId="35580"/>
    <cellStyle name="Normal 4 2 3 2 51 7" xfId="40311"/>
    <cellStyle name="Normal 4 2 3 2 52" xfId="8451"/>
    <cellStyle name="Normal 4 2 3 2 52 2" xfId="15532"/>
    <cellStyle name="Normal 4 2 3 2 52 3" xfId="20649"/>
    <cellStyle name="Normal 4 2 3 2 52 4" xfId="25692"/>
    <cellStyle name="Normal 4 2 3 2 52 5" xfId="30653"/>
    <cellStyle name="Normal 4 2 3 2 52 6" xfId="35511"/>
    <cellStyle name="Normal 4 2 3 2 52 7" xfId="40242"/>
    <cellStyle name="Normal 4 2 3 2 53" xfId="8762"/>
    <cellStyle name="Normal 4 2 3 2 53 2" xfId="15843"/>
    <cellStyle name="Normal 4 2 3 2 53 3" xfId="20960"/>
    <cellStyle name="Normal 4 2 3 2 53 4" xfId="26003"/>
    <cellStyle name="Normal 4 2 3 2 53 5" xfId="30964"/>
    <cellStyle name="Normal 4 2 3 2 53 6" xfId="35822"/>
    <cellStyle name="Normal 4 2 3 2 53 7" xfId="40553"/>
    <cellStyle name="Normal 4 2 3 2 54" xfId="8705"/>
    <cellStyle name="Normal 4 2 3 2 54 2" xfId="15786"/>
    <cellStyle name="Normal 4 2 3 2 54 3" xfId="20903"/>
    <cellStyle name="Normal 4 2 3 2 54 4" xfId="25946"/>
    <cellStyle name="Normal 4 2 3 2 54 5" xfId="30907"/>
    <cellStyle name="Normal 4 2 3 2 54 6" xfId="35765"/>
    <cellStyle name="Normal 4 2 3 2 54 7" xfId="40496"/>
    <cellStyle name="Normal 4 2 3 2 55" xfId="8715"/>
    <cellStyle name="Normal 4 2 3 2 55 2" xfId="15796"/>
    <cellStyle name="Normal 4 2 3 2 55 3" xfId="20913"/>
    <cellStyle name="Normal 4 2 3 2 55 4" xfId="25956"/>
    <cellStyle name="Normal 4 2 3 2 55 5" xfId="30917"/>
    <cellStyle name="Normal 4 2 3 2 55 6" xfId="35775"/>
    <cellStyle name="Normal 4 2 3 2 55 7" xfId="40506"/>
    <cellStyle name="Normal 4 2 3 2 56" xfId="8476"/>
    <cellStyle name="Normal 4 2 3 2 56 2" xfId="15557"/>
    <cellStyle name="Normal 4 2 3 2 56 3" xfId="20674"/>
    <cellStyle name="Normal 4 2 3 2 56 4" xfId="25717"/>
    <cellStyle name="Normal 4 2 3 2 56 5" xfId="30678"/>
    <cellStyle name="Normal 4 2 3 2 56 6" xfId="35536"/>
    <cellStyle name="Normal 4 2 3 2 56 7" xfId="40267"/>
    <cellStyle name="Normal 4 2 3 2 57" xfId="8436"/>
    <cellStyle name="Normal 4 2 3 2 57 2" xfId="15517"/>
    <cellStyle name="Normal 4 2 3 2 57 3" xfId="20634"/>
    <cellStyle name="Normal 4 2 3 2 57 4" xfId="25677"/>
    <cellStyle name="Normal 4 2 3 2 57 5" xfId="30638"/>
    <cellStyle name="Normal 4 2 3 2 57 6" xfId="35496"/>
    <cellStyle name="Normal 4 2 3 2 57 7" xfId="40227"/>
    <cellStyle name="Normal 4 2 3 2 58" xfId="8658"/>
    <cellStyle name="Normal 4 2 3 2 58 2" xfId="15739"/>
    <cellStyle name="Normal 4 2 3 2 58 3" xfId="20856"/>
    <cellStyle name="Normal 4 2 3 2 58 4" xfId="25899"/>
    <cellStyle name="Normal 4 2 3 2 58 5" xfId="30860"/>
    <cellStyle name="Normal 4 2 3 2 58 6" xfId="35718"/>
    <cellStyle name="Normal 4 2 3 2 58 7" xfId="40449"/>
    <cellStyle name="Normal 4 2 3 2 59" xfId="8456"/>
    <cellStyle name="Normal 4 2 3 2 59 2" xfId="15537"/>
    <cellStyle name="Normal 4 2 3 2 59 3" xfId="20654"/>
    <cellStyle name="Normal 4 2 3 2 59 4" xfId="25697"/>
    <cellStyle name="Normal 4 2 3 2 59 5" xfId="30658"/>
    <cellStyle name="Normal 4 2 3 2 59 6" xfId="35516"/>
    <cellStyle name="Normal 4 2 3 2 59 7" xfId="40247"/>
    <cellStyle name="Normal 4 2 3 2 6" xfId="4472"/>
    <cellStyle name="Normal 4 2 3 2 6 2" xfId="6028"/>
    <cellStyle name="Normal 4 2 3 2 6 3" xfId="18132"/>
    <cellStyle name="Normal 4 2 3 2 6 4" xfId="23175"/>
    <cellStyle name="Normal 4 2 3 2 6 5" xfId="28136"/>
    <cellStyle name="Normal 4 2 3 2 6 6" xfId="32994"/>
    <cellStyle name="Normal 4 2 3 2 6 7" xfId="37725"/>
    <cellStyle name="Normal 4 2 3 2 60" xfId="8875"/>
    <cellStyle name="Normal 4 2 3 2 60 2" xfId="15956"/>
    <cellStyle name="Normal 4 2 3 2 60 3" xfId="21073"/>
    <cellStyle name="Normal 4 2 3 2 60 4" xfId="26116"/>
    <cellStyle name="Normal 4 2 3 2 60 5" xfId="31077"/>
    <cellStyle name="Normal 4 2 3 2 60 6" xfId="35935"/>
    <cellStyle name="Normal 4 2 3 2 60 7" xfId="40666"/>
    <cellStyle name="Normal 4 2 3 2 61" xfId="8250"/>
    <cellStyle name="Normal 4 2 3 2 61 2" xfId="15331"/>
    <cellStyle name="Normal 4 2 3 2 61 3" xfId="20448"/>
    <cellStyle name="Normal 4 2 3 2 61 4" xfId="25491"/>
    <cellStyle name="Normal 4 2 3 2 61 5" xfId="30452"/>
    <cellStyle name="Normal 4 2 3 2 61 6" xfId="35310"/>
    <cellStyle name="Normal 4 2 3 2 61 7" xfId="40041"/>
    <cellStyle name="Normal 4 2 3 2 62" xfId="8741"/>
    <cellStyle name="Normal 4 2 3 2 62 2" xfId="15822"/>
    <cellStyle name="Normal 4 2 3 2 62 3" xfId="20939"/>
    <cellStyle name="Normal 4 2 3 2 62 4" xfId="25982"/>
    <cellStyle name="Normal 4 2 3 2 62 5" xfId="30943"/>
    <cellStyle name="Normal 4 2 3 2 62 6" xfId="35801"/>
    <cellStyle name="Normal 4 2 3 2 62 7" xfId="40532"/>
    <cellStyle name="Normal 4 2 3 2 63" xfId="9393"/>
    <cellStyle name="Normal 4 2 3 2 63 2" xfId="16474"/>
    <cellStyle name="Normal 4 2 3 2 63 3" xfId="21591"/>
    <cellStyle name="Normal 4 2 3 2 63 4" xfId="26634"/>
    <cellStyle name="Normal 4 2 3 2 63 5" xfId="31595"/>
    <cellStyle name="Normal 4 2 3 2 63 6" xfId="36453"/>
    <cellStyle name="Normal 4 2 3 2 63 7" xfId="41184"/>
    <cellStyle name="Normal 4 2 3 2 64" xfId="9162"/>
    <cellStyle name="Normal 4 2 3 2 64 2" xfId="16243"/>
    <cellStyle name="Normal 4 2 3 2 64 3" xfId="21360"/>
    <cellStyle name="Normal 4 2 3 2 64 4" xfId="26403"/>
    <cellStyle name="Normal 4 2 3 2 64 5" xfId="31364"/>
    <cellStyle name="Normal 4 2 3 2 64 6" xfId="36222"/>
    <cellStyle name="Normal 4 2 3 2 64 7" xfId="40953"/>
    <cellStyle name="Normal 4 2 3 2 65" xfId="9311"/>
    <cellStyle name="Normal 4 2 3 2 65 2" xfId="16392"/>
    <cellStyle name="Normal 4 2 3 2 65 3" xfId="21509"/>
    <cellStyle name="Normal 4 2 3 2 65 4" xfId="26552"/>
    <cellStyle name="Normal 4 2 3 2 65 5" xfId="31513"/>
    <cellStyle name="Normal 4 2 3 2 65 6" xfId="36371"/>
    <cellStyle name="Normal 4 2 3 2 65 7" xfId="41102"/>
    <cellStyle name="Normal 4 2 3 2 66" xfId="9299"/>
    <cellStyle name="Normal 4 2 3 2 66 2" xfId="16380"/>
    <cellStyle name="Normal 4 2 3 2 66 3" xfId="21497"/>
    <cellStyle name="Normal 4 2 3 2 66 4" xfId="26540"/>
    <cellStyle name="Normal 4 2 3 2 66 5" xfId="31501"/>
    <cellStyle name="Normal 4 2 3 2 66 6" xfId="36359"/>
    <cellStyle name="Normal 4 2 3 2 66 7" xfId="41090"/>
    <cellStyle name="Normal 4 2 3 2 67" xfId="9245"/>
    <cellStyle name="Normal 4 2 3 2 67 2" xfId="16326"/>
    <cellStyle name="Normal 4 2 3 2 67 3" xfId="21443"/>
    <cellStyle name="Normal 4 2 3 2 67 4" xfId="26486"/>
    <cellStyle name="Normal 4 2 3 2 67 5" xfId="31447"/>
    <cellStyle name="Normal 4 2 3 2 67 6" xfId="36305"/>
    <cellStyle name="Normal 4 2 3 2 67 7" xfId="41036"/>
    <cellStyle name="Normal 4 2 3 2 68" xfId="9498"/>
    <cellStyle name="Normal 4 2 3 2 68 2" xfId="16579"/>
    <cellStyle name="Normal 4 2 3 2 68 3" xfId="21696"/>
    <cellStyle name="Normal 4 2 3 2 68 4" xfId="26739"/>
    <cellStyle name="Normal 4 2 3 2 68 5" xfId="31700"/>
    <cellStyle name="Normal 4 2 3 2 68 6" xfId="36558"/>
    <cellStyle name="Normal 4 2 3 2 68 7" xfId="41289"/>
    <cellStyle name="Normal 4 2 3 2 69" xfId="9452"/>
    <cellStyle name="Normal 4 2 3 2 69 2" xfId="16533"/>
    <cellStyle name="Normal 4 2 3 2 69 3" xfId="21650"/>
    <cellStyle name="Normal 4 2 3 2 69 4" xfId="26693"/>
    <cellStyle name="Normal 4 2 3 2 69 5" xfId="31654"/>
    <cellStyle name="Normal 4 2 3 2 69 6" xfId="36512"/>
    <cellStyle name="Normal 4 2 3 2 69 7" xfId="41243"/>
    <cellStyle name="Normal 4 2 3 2 7" xfId="4581"/>
    <cellStyle name="Normal 4 2 3 2 7 2" xfId="6353"/>
    <cellStyle name="Normal 4 2 3 2 7 3" xfId="18461"/>
    <cellStyle name="Normal 4 2 3 2 7 4" xfId="23504"/>
    <cellStyle name="Normal 4 2 3 2 7 5" xfId="28465"/>
    <cellStyle name="Normal 4 2 3 2 7 6" xfId="33323"/>
    <cellStyle name="Normal 4 2 3 2 7 7" xfId="38054"/>
    <cellStyle name="Normal 4 2 3 2 70" xfId="9588"/>
    <cellStyle name="Normal 4 2 3 2 70 2" xfId="16669"/>
    <cellStyle name="Normal 4 2 3 2 70 3" xfId="21786"/>
    <cellStyle name="Normal 4 2 3 2 70 4" xfId="26829"/>
    <cellStyle name="Normal 4 2 3 2 70 5" xfId="31790"/>
    <cellStyle name="Normal 4 2 3 2 70 6" xfId="36648"/>
    <cellStyle name="Normal 4 2 3 2 70 7" xfId="41379"/>
    <cellStyle name="Normal 4 2 3 2 71" xfId="9123"/>
    <cellStyle name="Normal 4 2 3 2 71 2" xfId="16204"/>
    <cellStyle name="Normal 4 2 3 2 71 3" xfId="21321"/>
    <cellStyle name="Normal 4 2 3 2 71 4" xfId="26364"/>
    <cellStyle name="Normal 4 2 3 2 71 5" xfId="31325"/>
    <cellStyle name="Normal 4 2 3 2 71 6" xfId="36183"/>
    <cellStyle name="Normal 4 2 3 2 71 7" xfId="40914"/>
    <cellStyle name="Normal 4 2 3 2 72" xfId="9555"/>
    <cellStyle name="Normal 4 2 3 2 72 2" xfId="16636"/>
    <cellStyle name="Normal 4 2 3 2 72 3" xfId="21753"/>
    <cellStyle name="Normal 4 2 3 2 72 4" xfId="26796"/>
    <cellStyle name="Normal 4 2 3 2 72 5" xfId="31757"/>
    <cellStyle name="Normal 4 2 3 2 72 6" xfId="36615"/>
    <cellStyle name="Normal 4 2 3 2 72 7" xfId="41346"/>
    <cellStyle name="Normal 4 2 3 2 73" xfId="9135"/>
    <cellStyle name="Normal 4 2 3 2 73 2" xfId="16216"/>
    <cellStyle name="Normal 4 2 3 2 73 3" xfId="21333"/>
    <cellStyle name="Normal 4 2 3 2 73 4" xfId="26376"/>
    <cellStyle name="Normal 4 2 3 2 73 5" xfId="31337"/>
    <cellStyle name="Normal 4 2 3 2 73 6" xfId="36195"/>
    <cellStyle name="Normal 4 2 3 2 73 7" xfId="40926"/>
    <cellStyle name="Normal 4 2 3 2 74" xfId="9180"/>
    <cellStyle name="Normal 4 2 3 2 74 2" xfId="16261"/>
    <cellStyle name="Normal 4 2 3 2 74 3" xfId="21378"/>
    <cellStyle name="Normal 4 2 3 2 74 4" xfId="26421"/>
    <cellStyle name="Normal 4 2 3 2 74 5" xfId="31382"/>
    <cellStyle name="Normal 4 2 3 2 74 6" xfId="36240"/>
    <cellStyle name="Normal 4 2 3 2 74 7" xfId="40971"/>
    <cellStyle name="Normal 4 2 3 2 75" xfId="9888"/>
    <cellStyle name="Normal 4 2 3 2 75 2" xfId="16969"/>
    <cellStyle name="Normal 4 2 3 2 75 3" xfId="22086"/>
    <cellStyle name="Normal 4 2 3 2 75 4" xfId="27129"/>
    <cellStyle name="Normal 4 2 3 2 75 5" xfId="32090"/>
    <cellStyle name="Normal 4 2 3 2 75 6" xfId="36948"/>
    <cellStyle name="Normal 4 2 3 2 75 7" xfId="41679"/>
    <cellStyle name="Normal 4 2 3 2 76" xfId="9771"/>
    <cellStyle name="Normal 4 2 3 2 76 2" xfId="16852"/>
    <cellStyle name="Normal 4 2 3 2 76 3" xfId="21969"/>
    <cellStyle name="Normal 4 2 3 2 76 4" xfId="27012"/>
    <cellStyle name="Normal 4 2 3 2 76 5" xfId="31973"/>
    <cellStyle name="Normal 4 2 3 2 76 6" xfId="36831"/>
    <cellStyle name="Normal 4 2 3 2 76 7" xfId="41562"/>
    <cellStyle name="Normal 4 2 3 2 77" xfId="9843"/>
    <cellStyle name="Normal 4 2 3 2 77 2" xfId="16924"/>
    <cellStyle name="Normal 4 2 3 2 77 3" xfId="22041"/>
    <cellStyle name="Normal 4 2 3 2 77 4" xfId="27084"/>
    <cellStyle name="Normal 4 2 3 2 77 5" xfId="32045"/>
    <cellStyle name="Normal 4 2 3 2 77 6" xfId="36903"/>
    <cellStyle name="Normal 4 2 3 2 77 7" xfId="41634"/>
    <cellStyle name="Normal 4 2 3 2 78" xfId="9839"/>
    <cellStyle name="Normal 4 2 3 2 78 2" xfId="16920"/>
    <cellStyle name="Normal 4 2 3 2 78 3" xfId="22037"/>
    <cellStyle name="Normal 4 2 3 2 78 4" xfId="27080"/>
    <cellStyle name="Normal 4 2 3 2 78 5" xfId="32041"/>
    <cellStyle name="Normal 4 2 3 2 78 6" xfId="36899"/>
    <cellStyle name="Normal 4 2 3 2 78 7" xfId="41630"/>
    <cellStyle name="Normal 4 2 3 2 79" xfId="9812"/>
    <cellStyle name="Normal 4 2 3 2 79 2" xfId="16893"/>
    <cellStyle name="Normal 4 2 3 2 79 3" xfId="22010"/>
    <cellStyle name="Normal 4 2 3 2 79 4" xfId="27053"/>
    <cellStyle name="Normal 4 2 3 2 79 5" xfId="32014"/>
    <cellStyle name="Normal 4 2 3 2 79 6" xfId="36872"/>
    <cellStyle name="Normal 4 2 3 2 79 7" xfId="41603"/>
    <cellStyle name="Normal 4 2 3 2 8" xfId="4518"/>
    <cellStyle name="Normal 4 2 3 2 8 2" xfId="6284"/>
    <cellStyle name="Normal 4 2 3 2 8 3" xfId="18390"/>
    <cellStyle name="Normal 4 2 3 2 8 4" xfId="23433"/>
    <cellStyle name="Normal 4 2 3 2 8 5" xfId="28394"/>
    <cellStyle name="Normal 4 2 3 2 8 6" xfId="33252"/>
    <cellStyle name="Normal 4 2 3 2 8 7" xfId="37983"/>
    <cellStyle name="Normal 4 2 3 2 80" xfId="9950"/>
    <cellStyle name="Normal 4 2 3 2 80 2" xfId="17031"/>
    <cellStyle name="Normal 4 2 3 2 80 3" xfId="22148"/>
    <cellStyle name="Normal 4 2 3 2 80 4" xfId="27191"/>
    <cellStyle name="Normal 4 2 3 2 80 5" xfId="32152"/>
    <cellStyle name="Normal 4 2 3 2 80 6" xfId="37010"/>
    <cellStyle name="Normal 4 2 3 2 80 7" xfId="41741"/>
    <cellStyle name="Normal 4 2 3 2 81" xfId="10218"/>
    <cellStyle name="Normal 4 2 3 2 81 2" xfId="17299"/>
    <cellStyle name="Normal 4 2 3 2 81 3" xfId="22416"/>
    <cellStyle name="Normal 4 2 3 2 81 4" xfId="27459"/>
    <cellStyle name="Normal 4 2 3 2 81 5" xfId="32420"/>
    <cellStyle name="Normal 4 2 3 2 81 6" xfId="37278"/>
    <cellStyle name="Normal 4 2 3 2 81 7" xfId="42009"/>
    <cellStyle name="Normal 4 2 3 2 82" xfId="10101"/>
    <cellStyle name="Normal 4 2 3 2 82 2" xfId="17182"/>
    <cellStyle name="Normal 4 2 3 2 82 3" xfId="22299"/>
    <cellStyle name="Normal 4 2 3 2 82 4" xfId="27342"/>
    <cellStyle name="Normal 4 2 3 2 82 5" xfId="32303"/>
    <cellStyle name="Normal 4 2 3 2 82 6" xfId="37161"/>
    <cellStyle name="Normal 4 2 3 2 82 7" xfId="41892"/>
    <cellStyle name="Normal 4 2 3 2 83" xfId="10173"/>
    <cellStyle name="Normal 4 2 3 2 83 2" xfId="17254"/>
    <cellStyle name="Normal 4 2 3 2 83 3" xfId="22371"/>
    <cellStyle name="Normal 4 2 3 2 83 4" xfId="27414"/>
    <cellStyle name="Normal 4 2 3 2 83 5" xfId="32375"/>
    <cellStyle name="Normal 4 2 3 2 83 6" xfId="37233"/>
    <cellStyle name="Normal 4 2 3 2 83 7" xfId="41964"/>
    <cellStyle name="Normal 4 2 3 2 84" xfId="10169"/>
    <cellStyle name="Normal 4 2 3 2 84 2" xfId="17250"/>
    <cellStyle name="Normal 4 2 3 2 84 3" xfId="22367"/>
    <cellStyle name="Normal 4 2 3 2 84 4" xfId="27410"/>
    <cellStyle name="Normal 4 2 3 2 84 5" xfId="32371"/>
    <cellStyle name="Normal 4 2 3 2 84 6" xfId="37229"/>
    <cellStyle name="Normal 4 2 3 2 84 7" xfId="41960"/>
    <cellStyle name="Normal 4 2 3 2 85" xfId="10142"/>
    <cellStyle name="Normal 4 2 3 2 85 2" xfId="17223"/>
    <cellStyle name="Normal 4 2 3 2 85 3" xfId="22340"/>
    <cellStyle name="Normal 4 2 3 2 85 4" xfId="27383"/>
    <cellStyle name="Normal 4 2 3 2 85 5" xfId="32344"/>
    <cellStyle name="Normal 4 2 3 2 85 6" xfId="37202"/>
    <cellStyle name="Normal 4 2 3 2 85 7" xfId="41933"/>
    <cellStyle name="Normal 4 2 3 2 86" xfId="10280"/>
    <cellStyle name="Normal 4 2 3 2 86 2" xfId="17361"/>
    <cellStyle name="Normal 4 2 3 2 86 3" xfId="22478"/>
    <cellStyle name="Normal 4 2 3 2 86 4" xfId="27521"/>
    <cellStyle name="Normal 4 2 3 2 86 5" xfId="32482"/>
    <cellStyle name="Normal 4 2 3 2 86 6" xfId="37340"/>
    <cellStyle name="Normal 4 2 3 2 86 7" xfId="42071"/>
    <cellStyle name="Normal 4 2 3 2 87" xfId="13048"/>
    <cellStyle name="Normal 4 2 3 2 88" xfId="12175"/>
    <cellStyle name="Normal 4 2 3 2 89" xfId="11676"/>
    <cellStyle name="Normal 4 2 3 2 9" xfId="4496"/>
    <cellStyle name="Normal 4 2 3 2 9 2" xfId="6478"/>
    <cellStyle name="Normal 4 2 3 2 9 3" xfId="18588"/>
    <cellStyle name="Normal 4 2 3 2 9 4" xfId="23631"/>
    <cellStyle name="Normal 4 2 3 2 9 5" xfId="28592"/>
    <cellStyle name="Normal 4 2 3 2 9 6" xfId="33450"/>
    <cellStyle name="Normal 4 2 3 2 9 7" xfId="38181"/>
    <cellStyle name="Normal 4 2 3 2 90" xfId="13543"/>
    <cellStyle name="Normal 4 2 3 2 91" xfId="13909"/>
    <cellStyle name="Normal 4 2 3 2 92" xfId="17642"/>
    <cellStyle name="Normal 4 2 3 3" xfId="12499"/>
    <cellStyle name="Normal 4 2 3 4" xfId="12832"/>
    <cellStyle name="Normal 4 2 3 5" xfId="12547"/>
    <cellStyle name="Normal 4 2 3 6" xfId="13808"/>
    <cellStyle name="Normal 4 2 3 7" xfId="17549"/>
    <cellStyle name="Normal 4 2 3 8" xfId="22647"/>
    <cellStyle name="Normal 4 2 30" xfId="5751"/>
    <cellStyle name="Normal 4 2 30 2" xfId="14354"/>
    <cellStyle name="Normal 4 2 30 3" xfId="19266"/>
    <cellStyle name="Normal 4 2 30 4" xfId="24309"/>
    <cellStyle name="Normal 4 2 30 5" xfId="29270"/>
    <cellStyle name="Normal 4 2 30 6" xfId="34128"/>
    <cellStyle name="Normal 4 2 30 7" xfId="38859"/>
    <cellStyle name="Normal 4 2 31" xfId="7089"/>
    <cellStyle name="Normal 4 2 31 2" xfId="14336"/>
    <cellStyle name="Normal 4 2 31 3" xfId="19234"/>
    <cellStyle name="Normal 4 2 31 4" xfId="24277"/>
    <cellStyle name="Normal 4 2 31 5" xfId="29238"/>
    <cellStyle name="Normal 4 2 31 6" xfId="34096"/>
    <cellStyle name="Normal 4 2 31 7" xfId="38827"/>
    <cellStyle name="Normal 4 2 32" xfId="6923"/>
    <cellStyle name="Normal 4 2 32 2" xfId="14244"/>
    <cellStyle name="Normal 4 2 32 3" xfId="19051"/>
    <cellStyle name="Normal 4 2 32 4" xfId="24094"/>
    <cellStyle name="Normal 4 2 32 5" xfId="29055"/>
    <cellStyle name="Normal 4 2 32 6" xfId="33913"/>
    <cellStyle name="Normal 4 2 32 7" xfId="38644"/>
    <cellStyle name="Normal 4 2 33" xfId="6953"/>
    <cellStyle name="Normal 4 2 33 2" xfId="14262"/>
    <cellStyle name="Normal 4 2 33 3" xfId="19084"/>
    <cellStyle name="Normal 4 2 33 4" xfId="24127"/>
    <cellStyle name="Normal 4 2 33 5" xfId="29088"/>
    <cellStyle name="Normal 4 2 33 6" xfId="33946"/>
    <cellStyle name="Normal 4 2 33 7" xfId="38677"/>
    <cellStyle name="Normal 4 2 34" xfId="7027"/>
    <cellStyle name="Normal 4 2 34 2" xfId="14303"/>
    <cellStyle name="Normal 4 2 34 3" xfId="19166"/>
    <cellStyle name="Normal 4 2 34 4" xfId="24209"/>
    <cellStyle name="Normal 4 2 34 5" xfId="29170"/>
    <cellStyle name="Normal 4 2 34 6" xfId="34028"/>
    <cellStyle name="Normal 4 2 34 7" xfId="38759"/>
    <cellStyle name="Normal 4 2 35" xfId="6988"/>
    <cellStyle name="Normal 4 2 35 2" xfId="14284"/>
    <cellStyle name="Normal 4 2 35 3" xfId="19123"/>
    <cellStyle name="Normal 4 2 35 4" xfId="24166"/>
    <cellStyle name="Normal 4 2 35 5" xfId="29127"/>
    <cellStyle name="Normal 4 2 35 6" xfId="33985"/>
    <cellStyle name="Normal 4 2 35 7" xfId="38716"/>
    <cellStyle name="Normal 4 2 36" xfId="7643"/>
    <cellStyle name="Normal 4 2 36 2" xfId="14723"/>
    <cellStyle name="Normal 4 2 36 3" xfId="19840"/>
    <cellStyle name="Normal 4 2 36 4" xfId="24883"/>
    <cellStyle name="Normal 4 2 36 5" xfId="29844"/>
    <cellStyle name="Normal 4 2 36 6" xfId="34702"/>
    <cellStyle name="Normal 4 2 36 7" xfId="39433"/>
    <cellStyle name="Normal 4 2 37" xfId="7522"/>
    <cellStyle name="Normal 4 2 37 2" xfId="14600"/>
    <cellStyle name="Normal 4 2 37 3" xfId="19717"/>
    <cellStyle name="Normal 4 2 37 4" xfId="24760"/>
    <cellStyle name="Normal 4 2 37 5" xfId="29721"/>
    <cellStyle name="Normal 4 2 37 6" xfId="34579"/>
    <cellStyle name="Normal 4 2 37 7" xfId="39310"/>
    <cellStyle name="Normal 4 2 38" xfId="7804"/>
    <cellStyle name="Normal 4 2 38 2" xfId="14884"/>
    <cellStyle name="Normal 4 2 38 3" xfId="20001"/>
    <cellStyle name="Normal 4 2 38 4" xfId="25044"/>
    <cellStyle name="Normal 4 2 38 5" xfId="30005"/>
    <cellStyle name="Normal 4 2 38 6" xfId="34863"/>
    <cellStyle name="Normal 4 2 38 7" xfId="39594"/>
    <cellStyle name="Normal 4 2 39" xfId="7716"/>
    <cellStyle name="Normal 4 2 39 2" xfId="14796"/>
    <cellStyle name="Normal 4 2 39 3" xfId="19913"/>
    <cellStyle name="Normal 4 2 39 4" xfId="24956"/>
    <cellStyle name="Normal 4 2 39 5" xfId="29917"/>
    <cellStyle name="Normal 4 2 39 6" xfId="34775"/>
    <cellStyle name="Normal 4 2 39 7" xfId="39506"/>
    <cellStyle name="Normal 4 2 4" xfId="4241"/>
    <cellStyle name="Normal 4 2 4 2" xfId="5995"/>
    <cellStyle name="Normal 4 2 4 3" xfId="18098"/>
    <cellStyle name="Normal 4 2 4 4" xfId="23141"/>
    <cellStyle name="Normal 4 2 4 5" xfId="28102"/>
    <cellStyle name="Normal 4 2 4 6" xfId="32960"/>
    <cellStyle name="Normal 4 2 4 7" xfId="37691"/>
    <cellStyle name="Normal 4 2 40" xfId="8067"/>
    <cellStyle name="Normal 4 2 40 2" xfId="15147"/>
    <cellStyle name="Normal 4 2 40 3" xfId="20264"/>
    <cellStyle name="Normal 4 2 40 4" xfId="25307"/>
    <cellStyle name="Normal 4 2 40 5" xfId="30268"/>
    <cellStyle name="Normal 4 2 40 6" xfId="35126"/>
    <cellStyle name="Normal 4 2 40 7" xfId="39857"/>
    <cellStyle name="Normal 4 2 41" xfId="7879"/>
    <cellStyle name="Normal 4 2 41 2" xfId="14959"/>
    <cellStyle name="Normal 4 2 41 3" xfId="20076"/>
    <cellStyle name="Normal 4 2 41 4" xfId="25119"/>
    <cellStyle name="Normal 4 2 41 5" xfId="30080"/>
    <cellStyle name="Normal 4 2 41 6" xfId="34938"/>
    <cellStyle name="Normal 4 2 41 7" xfId="39669"/>
    <cellStyle name="Normal 4 2 42" xfId="7765"/>
    <cellStyle name="Normal 4 2 42 2" xfId="14845"/>
    <cellStyle name="Normal 4 2 42 3" xfId="19962"/>
    <cellStyle name="Normal 4 2 42 4" xfId="25005"/>
    <cellStyle name="Normal 4 2 42 5" xfId="29966"/>
    <cellStyle name="Normal 4 2 42 6" xfId="34824"/>
    <cellStyle name="Normal 4 2 42 7" xfId="39555"/>
    <cellStyle name="Normal 4 2 43" xfId="7731"/>
    <cellStyle name="Normal 4 2 43 2" xfId="14811"/>
    <cellStyle name="Normal 4 2 43 3" xfId="19928"/>
    <cellStyle name="Normal 4 2 43 4" xfId="24971"/>
    <cellStyle name="Normal 4 2 43 5" xfId="29932"/>
    <cellStyle name="Normal 4 2 43 6" xfId="34790"/>
    <cellStyle name="Normal 4 2 43 7" xfId="39521"/>
    <cellStyle name="Normal 4 2 44" xfId="7521"/>
    <cellStyle name="Normal 4 2 44 2" xfId="14599"/>
    <cellStyle name="Normal 4 2 44 3" xfId="19716"/>
    <cellStyle name="Normal 4 2 44 4" xfId="24759"/>
    <cellStyle name="Normal 4 2 44 5" xfId="29720"/>
    <cellStyle name="Normal 4 2 44 6" xfId="34578"/>
    <cellStyle name="Normal 4 2 44 7" xfId="39309"/>
    <cellStyle name="Normal 4 2 45" xfId="7559"/>
    <cellStyle name="Normal 4 2 45 2" xfId="14638"/>
    <cellStyle name="Normal 4 2 45 3" xfId="19755"/>
    <cellStyle name="Normal 4 2 45 4" xfId="24798"/>
    <cellStyle name="Normal 4 2 45 5" xfId="29759"/>
    <cellStyle name="Normal 4 2 45 6" xfId="34617"/>
    <cellStyle name="Normal 4 2 45 7" xfId="39348"/>
    <cellStyle name="Normal 4 2 46" xfId="7654"/>
    <cellStyle name="Normal 4 2 46 2" xfId="14734"/>
    <cellStyle name="Normal 4 2 46 3" xfId="19851"/>
    <cellStyle name="Normal 4 2 46 4" xfId="24894"/>
    <cellStyle name="Normal 4 2 46 5" xfId="29855"/>
    <cellStyle name="Normal 4 2 46 6" xfId="34713"/>
    <cellStyle name="Normal 4 2 46 7" xfId="39444"/>
    <cellStyle name="Normal 4 2 47" xfId="7608"/>
    <cellStyle name="Normal 4 2 47 2" xfId="14688"/>
    <cellStyle name="Normal 4 2 47 3" xfId="19805"/>
    <cellStyle name="Normal 4 2 47 4" xfId="24848"/>
    <cellStyle name="Normal 4 2 47 5" xfId="29809"/>
    <cellStyle name="Normal 4 2 47 6" xfId="34667"/>
    <cellStyle name="Normal 4 2 47 7" xfId="39398"/>
    <cellStyle name="Normal 4 2 48" xfId="7952"/>
    <cellStyle name="Normal 4 2 48 2" xfId="15032"/>
    <cellStyle name="Normal 4 2 48 3" xfId="20149"/>
    <cellStyle name="Normal 4 2 48 4" xfId="25192"/>
    <cellStyle name="Normal 4 2 48 5" xfId="30153"/>
    <cellStyle name="Normal 4 2 48 6" xfId="35011"/>
    <cellStyle name="Normal 4 2 48 7" xfId="39742"/>
    <cellStyle name="Normal 4 2 49" xfId="7639"/>
    <cellStyle name="Normal 4 2 49 2" xfId="14719"/>
    <cellStyle name="Normal 4 2 49 3" xfId="19836"/>
    <cellStyle name="Normal 4 2 49 4" xfId="24879"/>
    <cellStyle name="Normal 4 2 49 5" xfId="29840"/>
    <cellStyle name="Normal 4 2 49 6" xfId="34698"/>
    <cellStyle name="Normal 4 2 49 7" xfId="39429"/>
    <cellStyle name="Normal 4 2 5" xfId="4356"/>
    <cellStyle name="Normal 4 2 5 2" xfId="5861"/>
    <cellStyle name="Normal 4 2 5 3" xfId="17961"/>
    <cellStyle name="Normal 4 2 5 4" xfId="23004"/>
    <cellStyle name="Normal 4 2 5 5" xfId="27965"/>
    <cellStyle name="Normal 4 2 5 6" xfId="32823"/>
    <cellStyle name="Normal 4 2 5 7" xfId="37554"/>
    <cellStyle name="Normal 4 2 50" xfId="8415"/>
    <cellStyle name="Normal 4 2 50 2" xfId="15496"/>
    <cellStyle name="Normal 4 2 50 3" xfId="20613"/>
    <cellStyle name="Normal 4 2 50 4" xfId="25656"/>
    <cellStyle name="Normal 4 2 50 5" xfId="30617"/>
    <cellStyle name="Normal 4 2 50 6" xfId="35475"/>
    <cellStyle name="Normal 4 2 50 7" xfId="40206"/>
    <cellStyle name="Normal 4 2 51" xfId="8301"/>
    <cellStyle name="Normal 4 2 51 2" xfId="15382"/>
    <cellStyle name="Normal 4 2 51 3" xfId="20499"/>
    <cellStyle name="Normal 4 2 51 4" xfId="25542"/>
    <cellStyle name="Normal 4 2 51 5" xfId="30503"/>
    <cellStyle name="Normal 4 2 51 6" xfId="35361"/>
    <cellStyle name="Normal 4 2 51 7" xfId="40092"/>
    <cellStyle name="Normal 4 2 52" xfId="8587"/>
    <cellStyle name="Normal 4 2 52 2" xfId="15668"/>
    <cellStyle name="Normal 4 2 52 3" xfId="20785"/>
    <cellStyle name="Normal 4 2 52 4" xfId="25828"/>
    <cellStyle name="Normal 4 2 52 5" xfId="30789"/>
    <cellStyle name="Normal 4 2 52 6" xfId="35647"/>
    <cellStyle name="Normal 4 2 52 7" xfId="40378"/>
    <cellStyle name="Normal 4 2 53" xfId="8496"/>
    <cellStyle name="Normal 4 2 53 2" xfId="15577"/>
    <cellStyle name="Normal 4 2 53 3" xfId="20694"/>
    <cellStyle name="Normal 4 2 53 4" xfId="25737"/>
    <cellStyle name="Normal 4 2 53 5" xfId="30698"/>
    <cellStyle name="Normal 4 2 53 6" xfId="35556"/>
    <cellStyle name="Normal 4 2 53 7" xfId="40287"/>
    <cellStyle name="Normal 4 2 54" xfId="8866"/>
    <cellStyle name="Normal 4 2 54 2" xfId="15947"/>
    <cellStyle name="Normal 4 2 54 3" xfId="21064"/>
    <cellStyle name="Normal 4 2 54 4" xfId="26107"/>
    <cellStyle name="Normal 4 2 54 5" xfId="31068"/>
    <cellStyle name="Normal 4 2 54 6" xfId="35926"/>
    <cellStyle name="Normal 4 2 54 7" xfId="40657"/>
    <cellStyle name="Normal 4 2 55" xfId="8678"/>
    <cellStyle name="Normal 4 2 55 2" xfId="15759"/>
    <cellStyle name="Normal 4 2 55 3" xfId="20876"/>
    <cellStyle name="Normal 4 2 55 4" xfId="25919"/>
    <cellStyle name="Normal 4 2 55 5" xfId="30880"/>
    <cellStyle name="Normal 4 2 55 6" xfId="35738"/>
    <cellStyle name="Normal 4 2 55 7" xfId="40469"/>
    <cellStyle name="Normal 4 2 56" xfId="8555"/>
    <cellStyle name="Normal 4 2 56 2" xfId="15636"/>
    <cellStyle name="Normal 4 2 56 3" xfId="20753"/>
    <cellStyle name="Normal 4 2 56 4" xfId="25796"/>
    <cellStyle name="Normal 4 2 56 5" xfId="30757"/>
    <cellStyle name="Normal 4 2 56 6" xfId="35615"/>
    <cellStyle name="Normal 4 2 56 7" xfId="40346"/>
    <cellStyle name="Normal 4 2 57" xfId="8248"/>
    <cellStyle name="Normal 4 2 57 2" xfId="15329"/>
    <cellStyle name="Normal 4 2 57 3" xfId="20446"/>
    <cellStyle name="Normal 4 2 57 4" xfId="25489"/>
    <cellStyle name="Normal 4 2 57 5" xfId="30450"/>
    <cellStyle name="Normal 4 2 57 6" xfId="35308"/>
    <cellStyle name="Normal 4 2 57 7" xfId="40039"/>
    <cellStyle name="Normal 4 2 58" xfId="8818"/>
    <cellStyle name="Normal 4 2 58 2" xfId="15899"/>
    <cellStyle name="Normal 4 2 58 3" xfId="21016"/>
    <cellStyle name="Normal 4 2 58 4" xfId="26059"/>
    <cellStyle name="Normal 4 2 58 5" xfId="31020"/>
    <cellStyle name="Normal 4 2 58 6" xfId="35878"/>
    <cellStyle name="Normal 4 2 58 7" xfId="40609"/>
    <cellStyle name="Normal 4 2 59" xfId="8354"/>
    <cellStyle name="Normal 4 2 59 2" xfId="15435"/>
    <cellStyle name="Normal 4 2 59 3" xfId="20552"/>
    <cellStyle name="Normal 4 2 59 4" xfId="25595"/>
    <cellStyle name="Normal 4 2 59 5" xfId="30556"/>
    <cellStyle name="Normal 4 2 59 6" xfId="35414"/>
    <cellStyle name="Normal 4 2 59 7" xfId="40145"/>
    <cellStyle name="Normal 4 2 6" xfId="4276"/>
    <cellStyle name="Normal 4 2 6 2" xfId="6174"/>
    <cellStyle name="Normal 4 2 6 3" xfId="18278"/>
    <cellStyle name="Normal 4 2 6 4" xfId="23321"/>
    <cellStyle name="Normal 4 2 6 5" xfId="28282"/>
    <cellStyle name="Normal 4 2 6 6" xfId="33140"/>
    <cellStyle name="Normal 4 2 6 7" xfId="37871"/>
    <cellStyle name="Normal 4 2 60" xfId="8840"/>
    <cellStyle name="Normal 4 2 60 2" xfId="15921"/>
    <cellStyle name="Normal 4 2 60 3" xfId="21038"/>
    <cellStyle name="Normal 4 2 60 4" xfId="26081"/>
    <cellStyle name="Normal 4 2 60 5" xfId="31042"/>
    <cellStyle name="Normal 4 2 60 6" xfId="35900"/>
    <cellStyle name="Normal 4 2 60 7" xfId="40631"/>
    <cellStyle name="Normal 4 2 61" xfId="8486"/>
    <cellStyle name="Normal 4 2 61 2" xfId="15567"/>
    <cellStyle name="Normal 4 2 61 3" xfId="20684"/>
    <cellStyle name="Normal 4 2 61 4" xfId="25727"/>
    <cellStyle name="Normal 4 2 61 5" xfId="30688"/>
    <cellStyle name="Normal 4 2 61 6" xfId="35546"/>
    <cellStyle name="Normal 4 2 61 7" xfId="40277"/>
    <cellStyle name="Normal 4 2 62" xfId="8699"/>
    <cellStyle name="Normal 4 2 62 2" xfId="15780"/>
    <cellStyle name="Normal 4 2 62 3" xfId="20897"/>
    <cellStyle name="Normal 4 2 62 4" xfId="25940"/>
    <cellStyle name="Normal 4 2 62 5" xfId="30901"/>
    <cellStyle name="Normal 4 2 62 6" xfId="35759"/>
    <cellStyle name="Normal 4 2 62 7" xfId="40490"/>
    <cellStyle name="Normal 4 2 63" xfId="8597"/>
    <cellStyle name="Normal 4 2 63 2" xfId="15678"/>
    <cellStyle name="Normal 4 2 63 3" xfId="20795"/>
    <cellStyle name="Normal 4 2 63 4" xfId="25838"/>
    <cellStyle name="Normal 4 2 63 5" xfId="30799"/>
    <cellStyle name="Normal 4 2 63 6" xfId="35657"/>
    <cellStyle name="Normal 4 2 63 7" xfId="40388"/>
    <cellStyle name="Normal 4 2 64" xfId="8329"/>
    <cellStyle name="Normal 4 2 64 2" xfId="15410"/>
    <cellStyle name="Normal 4 2 64 3" xfId="20527"/>
    <cellStyle name="Normal 4 2 64 4" xfId="25570"/>
    <cellStyle name="Normal 4 2 64 5" xfId="30531"/>
    <cellStyle name="Normal 4 2 64 6" xfId="35389"/>
    <cellStyle name="Normal 4 2 64 7" xfId="40120"/>
    <cellStyle name="Normal 4 2 65" xfId="9215"/>
    <cellStyle name="Normal 4 2 65 2" xfId="16296"/>
    <cellStyle name="Normal 4 2 65 3" xfId="21413"/>
    <cellStyle name="Normal 4 2 65 4" xfId="26456"/>
    <cellStyle name="Normal 4 2 65 5" xfId="31417"/>
    <cellStyle name="Normal 4 2 65 6" xfId="36275"/>
    <cellStyle name="Normal 4 2 65 7" xfId="41006"/>
    <cellStyle name="Normal 4 2 66" xfId="9112"/>
    <cellStyle name="Normal 4 2 66 2" xfId="16193"/>
    <cellStyle name="Normal 4 2 66 3" xfId="21310"/>
    <cellStyle name="Normal 4 2 66 4" xfId="26353"/>
    <cellStyle name="Normal 4 2 66 5" xfId="31314"/>
    <cellStyle name="Normal 4 2 66 6" xfId="36172"/>
    <cellStyle name="Normal 4 2 66 7" xfId="40903"/>
    <cellStyle name="Normal 4 2 67" xfId="9360"/>
    <cellStyle name="Normal 4 2 67 2" xfId="16441"/>
    <cellStyle name="Normal 4 2 67 3" xfId="21558"/>
    <cellStyle name="Normal 4 2 67 4" xfId="26601"/>
    <cellStyle name="Normal 4 2 67 5" xfId="31562"/>
    <cellStyle name="Normal 4 2 67 6" xfId="36420"/>
    <cellStyle name="Normal 4 2 67 7" xfId="41151"/>
    <cellStyle name="Normal 4 2 68" xfId="9279"/>
    <cellStyle name="Normal 4 2 68 2" xfId="16360"/>
    <cellStyle name="Normal 4 2 68 3" xfId="21477"/>
    <cellStyle name="Normal 4 2 68 4" xfId="26520"/>
    <cellStyle name="Normal 4 2 68 5" xfId="31481"/>
    <cellStyle name="Normal 4 2 68 6" xfId="36339"/>
    <cellStyle name="Normal 4 2 68 7" xfId="41070"/>
    <cellStyle name="Normal 4 2 69" xfId="9580"/>
    <cellStyle name="Normal 4 2 69 2" xfId="16661"/>
    <cellStyle name="Normal 4 2 69 3" xfId="21778"/>
    <cellStyle name="Normal 4 2 69 4" xfId="26821"/>
    <cellStyle name="Normal 4 2 69 5" xfId="31782"/>
    <cellStyle name="Normal 4 2 69 6" xfId="36640"/>
    <cellStyle name="Normal 4 2 69 7" xfId="41371"/>
    <cellStyle name="Normal 4 2 7" xfId="4383"/>
    <cellStyle name="Normal 4 2 7 2" xfId="6074"/>
    <cellStyle name="Normal 4 2 7 3" xfId="18178"/>
    <cellStyle name="Normal 4 2 7 4" xfId="23221"/>
    <cellStyle name="Normal 4 2 7 5" xfId="28182"/>
    <cellStyle name="Normal 4 2 7 6" xfId="33040"/>
    <cellStyle name="Normal 4 2 7 7" xfId="37771"/>
    <cellStyle name="Normal 4 2 70" xfId="9428"/>
    <cellStyle name="Normal 4 2 70 2" xfId="16509"/>
    <cellStyle name="Normal 4 2 70 3" xfId="21626"/>
    <cellStyle name="Normal 4 2 70 4" xfId="26669"/>
    <cellStyle name="Normal 4 2 70 5" xfId="31630"/>
    <cellStyle name="Normal 4 2 70 6" xfId="36488"/>
    <cellStyle name="Normal 4 2 70 7" xfId="41219"/>
    <cellStyle name="Normal 4 2 71" xfId="9326"/>
    <cellStyle name="Normal 4 2 71 2" xfId="16407"/>
    <cellStyle name="Normal 4 2 71 3" xfId="21524"/>
    <cellStyle name="Normal 4 2 71 4" xfId="26567"/>
    <cellStyle name="Normal 4 2 71 5" xfId="31528"/>
    <cellStyle name="Normal 4 2 71 6" xfId="36386"/>
    <cellStyle name="Normal 4 2 71 7" xfId="41117"/>
    <cellStyle name="Normal 4 2 72" xfId="9294"/>
    <cellStyle name="Normal 4 2 72 2" xfId="16375"/>
    <cellStyle name="Normal 4 2 72 3" xfId="21492"/>
    <cellStyle name="Normal 4 2 72 4" xfId="26535"/>
    <cellStyle name="Normal 4 2 72 5" xfId="31496"/>
    <cellStyle name="Normal 4 2 72 6" xfId="36354"/>
    <cellStyle name="Normal 4 2 72 7" xfId="41085"/>
    <cellStyle name="Normal 4 2 73" xfId="9111"/>
    <cellStyle name="Normal 4 2 73 2" xfId="16192"/>
    <cellStyle name="Normal 4 2 73 3" xfId="21309"/>
    <cellStyle name="Normal 4 2 73 4" xfId="26352"/>
    <cellStyle name="Normal 4 2 73 5" xfId="31313"/>
    <cellStyle name="Normal 4 2 73 6" xfId="36171"/>
    <cellStyle name="Normal 4 2 73 7" xfId="40902"/>
    <cellStyle name="Normal 4 2 74" xfId="9144"/>
    <cellStyle name="Normal 4 2 74 2" xfId="16225"/>
    <cellStyle name="Normal 4 2 74 3" xfId="21342"/>
    <cellStyle name="Normal 4 2 74 4" xfId="26385"/>
    <cellStyle name="Normal 4 2 74 5" xfId="31346"/>
    <cellStyle name="Normal 4 2 74 6" xfId="36204"/>
    <cellStyle name="Normal 4 2 74 7" xfId="40935"/>
    <cellStyle name="Normal 4 2 75" xfId="9226"/>
    <cellStyle name="Normal 4 2 75 2" xfId="16307"/>
    <cellStyle name="Normal 4 2 75 3" xfId="21424"/>
    <cellStyle name="Normal 4 2 75 4" xfId="26467"/>
    <cellStyle name="Normal 4 2 75 5" xfId="31428"/>
    <cellStyle name="Normal 4 2 75 6" xfId="36286"/>
    <cellStyle name="Normal 4 2 75 7" xfId="41017"/>
    <cellStyle name="Normal 4 2 76" xfId="9183"/>
    <cellStyle name="Normal 4 2 76 2" xfId="16264"/>
    <cellStyle name="Normal 4 2 76 3" xfId="21381"/>
    <cellStyle name="Normal 4 2 76 4" xfId="26424"/>
    <cellStyle name="Normal 4 2 76 5" xfId="31385"/>
    <cellStyle name="Normal 4 2 76 6" xfId="36243"/>
    <cellStyle name="Normal 4 2 76 7" xfId="40974"/>
    <cellStyle name="Normal 4 2 77" xfId="9792"/>
    <cellStyle name="Normal 4 2 77 2" xfId="16873"/>
    <cellStyle name="Normal 4 2 77 3" xfId="21990"/>
    <cellStyle name="Normal 4 2 77 4" xfId="27033"/>
    <cellStyle name="Normal 4 2 77 5" xfId="31994"/>
    <cellStyle name="Normal 4 2 77 6" xfId="36852"/>
    <cellStyle name="Normal 4 2 77 7" xfId="41583"/>
    <cellStyle name="Normal 4 2 78" xfId="9747"/>
    <cellStyle name="Normal 4 2 78 2" xfId="16828"/>
    <cellStyle name="Normal 4 2 78 3" xfId="21945"/>
    <cellStyle name="Normal 4 2 78 4" xfId="26988"/>
    <cellStyle name="Normal 4 2 78 5" xfId="31949"/>
    <cellStyle name="Normal 4 2 78 6" xfId="36807"/>
    <cellStyle name="Normal 4 2 78 7" xfId="41538"/>
    <cellStyle name="Normal 4 2 79" xfId="9867"/>
    <cellStyle name="Normal 4 2 79 2" xfId="16948"/>
    <cellStyle name="Normal 4 2 79 3" xfId="22065"/>
    <cellStyle name="Normal 4 2 79 4" xfId="27108"/>
    <cellStyle name="Normal 4 2 79 5" xfId="32069"/>
    <cellStyle name="Normal 4 2 79 6" xfId="36927"/>
    <cellStyle name="Normal 4 2 79 7" xfId="41658"/>
    <cellStyle name="Normal 4 2 8" xfId="4439"/>
    <cellStyle name="Normal 4 2 8 2" xfId="6466"/>
    <cellStyle name="Normal 4 2 8 3" xfId="18576"/>
    <cellStyle name="Normal 4 2 8 4" xfId="23619"/>
    <cellStyle name="Normal 4 2 8 5" xfId="28580"/>
    <cellStyle name="Normal 4 2 8 6" xfId="33438"/>
    <cellStyle name="Normal 4 2 8 7" xfId="38169"/>
    <cellStyle name="Normal 4 2 80" xfId="9826"/>
    <cellStyle name="Normal 4 2 80 2" xfId="16907"/>
    <cellStyle name="Normal 4 2 80 3" xfId="22024"/>
    <cellStyle name="Normal 4 2 80 4" xfId="27067"/>
    <cellStyle name="Normal 4 2 80 5" xfId="32028"/>
    <cellStyle name="Normal 4 2 80 6" xfId="36886"/>
    <cellStyle name="Normal 4 2 80 7" xfId="41617"/>
    <cellStyle name="Normal 4 2 81" xfId="9986"/>
    <cellStyle name="Normal 4 2 81 2" xfId="17067"/>
    <cellStyle name="Normal 4 2 81 3" xfId="22184"/>
    <cellStyle name="Normal 4 2 81 4" xfId="27227"/>
    <cellStyle name="Normal 4 2 81 5" xfId="32188"/>
    <cellStyle name="Normal 4 2 81 6" xfId="37046"/>
    <cellStyle name="Normal 4 2 81 7" xfId="41777"/>
    <cellStyle name="Normal 4 2 82" xfId="9913"/>
    <cellStyle name="Normal 4 2 82 2" xfId="16994"/>
    <cellStyle name="Normal 4 2 82 3" xfId="22111"/>
    <cellStyle name="Normal 4 2 82 4" xfId="27154"/>
    <cellStyle name="Normal 4 2 82 5" xfId="32115"/>
    <cellStyle name="Normal 4 2 82 6" xfId="36973"/>
    <cellStyle name="Normal 4 2 82 7" xfId="41704"/>
    <cellStyle name="Normal 4 2 83" xfId="10122"/>
    <cellStyle name="Normal 4 2 83 2" xfId="17203"/>
    <cellStyle name="Normal 4 2 83 3" xfId="22320"/>
    <cellStyle name="Normal 4 2 83 4" xfId="27363"/>
    <cellStyle name="Normal 4 2 83 5" xfId="32324"/>
    <cellStyle name="Normal 4 2 83 6" xfId="37182"/>
    <cellStyle name="Normal 4 2 83 7" xfId="41913"/>
    <cellStyle name="Normal 4 2 84" xfId="10077"/>
    <cellStyle name="Normal 4 2 84 2" xfId="17158"/>
    <cellStyle name="Normal 4 2 84 3" xfId="22275"/>
    <cellStyle name="Normal 4 2 84 4" xfId="27318"/>
    <cellStyle name="Normal 4 2 84 5" xfId="32279"/>
    <cellStyle name="Normal 4 2 84 6" xfId="37137"/>
    <cellStyle name="Normal 4 2 84 7" xfId="41868"/>
    <cellStyle name="Normal 4 2 85" xfId="10197"/>
    <cellStyle name="Normal 4 2 85 2" xfId="17278"/>
    <cellStyle name="Normal 4 2 85 3" xfId="22395"/>
    <cellStyle name="Normal 4 2 85 4" xfId="27438"/>
    <cellStyle name="Normal 4 2 85 5" xfId="32399"/>
    <cellStyle name="Normal 4 2 85 6" xfId="37257"/>
    <cellStyle name="Normal 4 2 85 7" xfId="41988"/>
    <cellStyle name="Normal 4 2 86" xfId="10156"/>
    <cellStyle name="Normal 4 2 86 2" xfId="17237"/>
    <cellStyle name="Normal 4 2 86 3" xfId="22354"/>
    <cellStyle name="Normal 4 2 86 4" xfId="27397"/>
    <cellStyle name="Normal 4 2 86 5" xfId="32358"/>
    <cellStyle name="Normal 4 2 86 6" xfId="37216"/>
    <cellStyle name="Normal 4 2 86 7" xfId="41947"/>
    <cellStyle name="Normal 4 2 87" xfId="10316"/>
    <cellStyle name="Normal 4 2 87 2" xfId="17397"/>
    <cellStyle name="Normal 4 2 87 3" xfId="22514"/>
    <cellStyle name="Normal 4 2 87 4" xfId="27557"/>
    <cellStyle name="Normal 4 2 87 5" xfId="32518"/>
    <cellStyle name="Normal 4 2 87 6" xfId="37376"/>
    <cellStyle name="Normal 4 2 87 7" xfId="42107"/>
    <cellStyle name="Normal 4 2 88" xfId="10243"/>
    <cellStyle name="Normal 4 2 88 2" xfId="17324"/>
    <cellStyle name="Normal 4 2 88 3" xfId="22441"/>
    <cellStyle name="Normal 4 2 88 4" xfId="27484"/>
    <cellStyle name="Normal 4 2 88 5" xfId="32445"/>
    <cellStyle name="Normal 4 2 88 6" xfId="37303"/>
    <cellStyle name="Normal 4 2 88 7" xfId="42034"/>
    <cellStyle name="Normal 4 2 89" xfId="12221"/>
    <cellStyle name="Normal 4 2 9" xfId="4523"/>
    <cellStyle name="Normal 4 2 9 2" xfId="6256"/>
    <cellStyle name="Normal 4 2 9 3" xfId="18360"/>
    <cellStyle name="Normal 4 2 9 4" xfId="23403"/>
    <cellStyle name="Normal 4 2 9 5" xfId="28364"/>
    <cellStyle name="Normal 4 2 9 6" xfId="33222"/>
    <cellStyle name="Normal 4 2 9 7" xfId="37953"/>
    <cellStyle name="Normal 4 2 90" xfId="13162"/>
    <cellStyle name="Normal 4 2 91" xfId="12789"/>
    <cellStyle name="Normal 4 2 92" xfId="12290"/>
    <cellStyle name="Normal 4 2 93" xfId="13415"/>
    <cellStyle name="Normal 4 2 94" xfId="12262"/>
    <cellStyle name="Normal 4 3" xfId="1574"/>
    <cellStyle name="Normal 4 3 2" xfId="12425"/>
    <cellStyle name="Normal 4 3 3" xfId="11670"/>
    <cellStyle name="Normal 4 3 4" xfId="12834"/>
    <cellStyle name="Normal 4 3 5" xfId="13534"/>
    <cellStyle name="Normal 4 3 6" xfId="11885"/>
    <cellStyle name="Normal 4 3 7" xfId="13573"/>
    <cellStyle name="Normal 4 4" xfId="1715"/>
    <cellStyle name="Normal 4 4 10" xfId="4568"/>
    <cellStyle name="Normal 4 4 10 2" xfId="5862"/>
    <cellStyle name="Normal 4 4 10 3" xfId="17962"/>
    <cellStyle name="Normal 4 4 10 4" xfId="23005"/>
    <cellStyle name="Normal 4 4 10 5" xfId="27966"/>
    <cellStyle name="Normal 4 4 10 6" xfId="32824"/>
    <cellStyle name="Normal 4 4 10 7" xfId="37555"/>
    <cellStyle name="Normal 4 4 11" xfId="4681"/>
    <cellStyle name="Normal 4 4 11 2" xfId="5805"/>
    <cellStyle name="Normal 4 4 11 3" xfId="17902"/>
    <cellStyle name="Normal 4 4 11 4" xfId="22945"/>
    <cellStyle name="Normal 4 4 11 5" xfId="27906"/>
    <cellStyle name="Normal 4 4 11 6" xfId="32764"/>
    <cellStyle name="Normal 4 4 11 7" xfId="37495"/>
    <cellStyle name="Normal 4 4 12" xfId="4815"/>
    <cellStyle name="Normal 4 4 12 2" xfId="6116"/>
    <cellStyle name="Normal 4 4 12 3" xfId="18220"/>
    <cellStyle name="Normal 4 4 12 4" xfId="23263"/>
    <cellStyle name="Normal 4 4 12 5" xfId="28224"/>
    <cellStyle name="Normal 4 4 12 6" xfId="33082"/>
    <cellStyle name="Normal 4 4 12 7" xfId="37813"/>
    <cellStyle name="Normal 4 4 13" xfId="4771"/>
    <cellStyle name="Normal 4 4 13 2" xfId="5913"/>
    <cellStyle name="Normal 4 4 13 3" xfId="18015"/>
    <cellStyle name="Normal 4 4 13 4" xfId="23058"/>
    <cellStyle name="Normal 4 4 13 5" xfId="28019"/>
    <cellStyle name="Normal 4 4 13 6" xfId="32877"/>
    <cellStyle name="Normal 4 4 13 7" xfId="37608"/>
    <cellStyle name="Normal 4 4 14" xfId="4749"/>
    <cellStyle name="Normal 4 4 14 2" xfId="6051"/>
    <cellStyle name="Normal 4 4 14 3" xfId="18155"/>
    <cellStyle name="Normal 4 4 14 4" xfId="23198"/>
    <cellStyle name="Normal 4 4 14 5" xfId="28159"/>
    <cellStyle name="Normal 4 4 14 6" xfId="33017"/>
    <cellStyle name="Normal 4 4 14 7" xfId="37748"/>
    <cellStyle name="Normal 4 4 15" xfId="4892"/>
    <cellStyle name="Normal 4 4 15 2" xfId="6452"/>
    <cellStyle name="Normal 4 4 15 3" xfId="18562"/>
    <cellStyle name="Normal 4 4 15 4" xfId="23605"/>
    <cellStyle name="Normal 4 4 15 5" xfId="28566"/>
    <cellStyle name="Normal 4 4 15 6" xfId="33424"/>
    <cellStyle name="Normal 4 4 15 7" xfId="38155"/>
    <cellStyle name="Normal 4 4 16" xfId="5031"/>
    <cellStyle name="Normal 4 4 16 2" xfId="6058"/>
    <cellStyle name="Normal 4 4 16 3" xfId="18162"/>
    <cellStyle name="Normal 4 4 16 4" xfId="23205"/>
    <cellStyle name="Normal 4 4 16 5" xfId="28166"/>
    <cellStyle name="Normal 4 4 16 6" xfId="33024"/>
    <cellStyle name="Normal 4 4 16 7" xfId="37755"/>
    <cellStyle name="Normal 4 4 17" xfId="4990"/>
    <cellStyle name="Normal 4 4 17 2" xfId="6191"/>
    <cellStyle name="Normal 4 4 17 3" xfId="18295"/>
    <cellStyle name="Normal 4 4 17 4" xfId="23338"/>
    <cellStyle name="Normal 4 4 17 5" xfId="28299"/>
    <cellStyle name="Normal 4 4 17 6" xfId="33157"/>
    <cellStyle name="Normal 4 4 17 7" xfId="37888"/>
    <cellStyle name="Normal 4 4 18" xfId="5091"/>
    <cellStyle name="Normal 4 4 18 2" xfId="6374"/>
    <cellStyle name="Normal 4 4 18 3" xfId="18483"/>
    <cellStyle name="Normal 4 4 18 4" xfId="23526"/>
    <cellStyle name="Normal 4 4 18 5" xfId="28487"/>
    <cellStyle name="Normal 4 4 18 6" xfId="33345"/>
    <cellStyle name="Normal 4 4 18 7" xfId="38076"/>
    <cellStyle name="Normal 4 4 19" xfId="5037"/>
    <cellStyle name="Normal 4 4 19 2" xfId="6730"/>
    <cellStyle name="Normal 4 4 19 3" xfId="18851"/>
    <cellStyle name="Normal 4 4 19 4" xfId="23894"/>
    <cellStyle name="Normal 4 4 19 5" xfId="28855"/>
    <cellStyle name="Normal 4 4 19 6" xfId="33713"/>
    <cellStyle name="Normal 4 4 19 7" xfId="38444"/>
    <cellStyle name="Normal 4 4 2" xfId="2472"/>
    <cellStyle name="Normal 4 4 2 2" xfId="13019"/>
    <cellStyle name="Normal 4 4 2 3" xfId="13236"/>
    <cellStyle name="Normal 4 4 2 4" xfId="12087"/>
    <cellStyle name="Normal 4 4 2 5" xfId="12750"/>
    <cellStyle name="Normal 4 4 2 6" xfId="13375"/>
    <cellStyle name="Normal 4 4 2 7" xfId="13145"/>
    <cellStyle name="Normal 4 4 20" xfId="5356"/>
    <cellStyle name="Normal 4 4 20 2" xfId="6691"/>
    <cellStyle name="Normal 4 4 20 3" xfId="18812"/>
    <cellStyle name="Normal 4 4 20 4" xfId="23855"/>
    <cellStyle name="Normal 4 4 20 5" xfId="28816"/>
    <cellStyle name="Normal 4 4 20 6" xfId="33674"/>
    <cellStyle name="Normal 4 4 20 7" xfId="38405"/>
    <cellStyle name="Normal 4 4 21" xfId="5251"/>
    <cellStyle name="Normal 4 4 21 2" xfId="6662"/>
    <cellStyle name="Normal 4 4 21 3" xfId="18782"/>
    <cellStyle name="Normal 4 4 21 4" xfId="23825"/>
    <cellStyle name="Normal 4 4 21 5" xfId="28786"/>
    <cellStyle name="Normal 4 4 21 6" xfId="33644"/>
    <cellStyle name="Normal 4 4 21 7" xfId="38375"/>
    <cellStyle name="Normal 4 4 22" xfId="5204"/>
    <cellStyle name="Normal 4 4 22 2" xfId="6743"/>
    <cellStyle name="Normal 4 4 22 3" xfId="18864"/>
    <cellStyle name="Normal 4 4 22 4" xfId="23907"/>
    <cellStyle name="Normal 4 4 22 5" xfId="28868"/>
    <cellStyle name="Normal 4 4 22 6" xfId="33726"/>
    <cellStyle name="Normal 4 4 22 7" xfId="38457"/>
    <cellStyle name="Normal 4 4 23" xfId="5510"/>
    <cellStyle name="Normal 4 4 23 2" xfId="7078"/>
    <cellStyle name="Normal 4 4 23 3" xfId="19222"/>
    <cellStyle name="Normal 4 4 23 4" xfId="24265"/>
    <cellStyle name="Normal 4 4 23 5" xfId="29226"/>
    <cellStyle name="Normal 4 4 23 6" xfId="34084"/>
    <cellStyle name="Normal 4 4 23 7" xfId="38815"/>
    <cellStyle name="Normal 4 4 24" xfId="5223"/>
    <cellStyle name="Normal 4 4 24 2" xfId="6960"/>
    <cellStyle name="Normal 4 4 24 3" xfId="19091"/>
    <cellStyle name="Normal 4 4 24 4" xfId="24134"/>
    <cellStyle name="Normal 4 4 24 5" xfId="29095"/>
    <cellStyle name="Normal 4 4 24 6" xfId="33953"/>
    <cellStyle name="Normal 4 4 24 7" xfId="38684"/>
    <cellStyle name="Normal 4 4 25" xfId="5285"/>
    <cellStyle name="Normal 4 4 25 2" xfId="6882"/>
    <cellStyle name="Normal 4 4 25 3" xfId="19004"/>
    <cellStyle name="Normal 4 4 25 4" xfId="24047"/>
    <cellStyle name="Normal 4 4 25 5" xfId="29008"/>
    <cellStyle name="Normal 4 4 25 6" xfId="33866"/>
    <cellStyle name="Normal 4 4 25 7" xfId="38597"/>
    <cellStyle name="Normal 4 4 26" xfId="5335"/>
    <cellStyle name="Normal 4 4 26 2" xfId="7117"/>
    <cellStyle name="Normal 4 4 26 3" xfId="19263"/>
    <cellStyle name="Normal 4 4 26 4" xfId="24306"/>
    <cellStyle name="Normal 4 4 26 5" xfId="29267"/>
    <cellStyle name="Normal 4 4 26 6" xfId="34125"/>
    <cellStyle name="Normal 4 4 26 7" xfId="38856"/>
    <cellStyle name="Normal 4 4 27" xfId="5324"/>
    <cellStyle name="Normal 4 4 27 2" xfId="6962"/>
    <cellStyle name="Normal 4 4 27 3" xfId="19094"/>
    <cellStyle name="Normal 4 4 27 4" xfId="24137"/>
    <cellStyle name="Normal 4 4 27 5" xfId="29098"/>
    <cellStyle name="Normal 4 4 27 6" xfId="33956"/>
    <cellStyle name="Normal 4 4 27 7" xfId="38687"/>
    <cellStyle name="Normal 4 4 28" xfId="5579"/>
    <cellStyle name="Normal 4 4 28 2" xfId="7106"/>
    <cellStyle name="Normal 4 4 28 3" xfId="19252"/>
    <cellStyle name="Normal 4 4 28 4" xfId="24295"/>
    <cellStyle name="Normal 4 4 28 5" xfId="29256"/>
    <cellStyle name="Normal 4 4 28 6" xfId="34114"/>
    <cellStyle name="Normal 4 4 28 7" xfId="38845"/>
    <cellStyle name="Normal 4 4 29" xfId="5767"/>
    <cellStyle name="Normal 4 4 29 2" xfId="14450"/>
    <cellStyle name="Normal 4 4 29 3" xfId="19485"/>
    <cellStyle name="Normal 4 4 29 4" xfId="24528"/>
    <cellStyle name="Normal 4 4 29 5" xfId="29489"/>
    <cellStyle name="Normal 4 4 29 6" xfId="34347"/>
    <cellStyle name="Normal 4 4 29 7" xfId="39078"/>
    <cellStyle name="Normal 4 4 3" xfId="4265"/>
    <cellStyle name="Normal 4 4 3 2" xfId="6077"/>
    <cellStyle name="Normal 4 4 3 3" xfId="18181"/>
    <cellStyle name="Normal 4 4 3 4" xfId="23224"/>
    <cellStyle name="Normal 4 4 3 5" xfId="28185"/>
    <cellStyle name="Normal 4 4 3 6" xfId="33043"/>
    <cellStyle name="Normal 4 4 3 7" xfId="37774"/>
    <cellStyle name="Normal 4 4 30" xfId="6925"/>
    <cellStyle name="Normal 4 4 30 2" xfId="14245"/>
    <cellStyle name="Normal 4 4 30 3" xfId="19053"/>
    <cellStyle name="Normal 4 4 30 4" xfId="24096"/>
    <cellStyle name="Normal 4 4 30 5" xfId="29057"/>
    <cellStyle name="Normal 4 4 30 6" xfId="33915"/>
    <cellStyle name="Normal 4 4 30 7" xfId="38646"/>
    <cellStyle name="Normal 4 4 31" xfId="6881"/>
    <cellStyle name="Normal 4 4 31 2" xfId="14218"/>
    <cellStyle name="Normal 4 4 31 3" xfId="19003"/>
    <cellStyle name="Normal 4 4 31 4" xfId="24046"/>
    <cellStyle name="Normal 4 4 31 5" xfId="29007"/>
    <cellStyle name="Normal 4 4 31 6" xfId="33865"/>
    <cellStyle name="Normal 4 4 31 7" xfId="38596"/>
    <cellStyle name="Normal 4 4 32" xfId="7109"/>
    <cellStyle name="Normal 4 4 32 2" xfId="14349"/>
    <cellStyle name="Normal 4 4 32 3" xfId="19255"/>
    <cellStyle name="Normal 4 4 32 4" xfId="24298"/>
    <cellStyle name="Normal 4 4 32 5" xfId="29259"/>
    <cellStyle name="Normal 4 4 32 6" xfId="34117"/>
    <cellStyle name="Normal 4 4 32 7" xfId="38848"/>
    <cellStyle name="Normal 4 4 33" xfId="6963"/>
    <cellStyle name="Normal 4 4 33 2" xfId="14266"/>
    <cellStyle name="Normal 4 4 33 3" xfId="19095"/>
    <cellStyle name="Normal 4 4 33 4" xfId="24138"/>
    <cellStyle name="Normal 4 4 33 5" xfId="29099"/>
    <cellStyle name="Normal 4 4 33 6" xfId="33957"/>
    <cellStyle name="Normal 4 4 33 7" xfId="38688"/>
    <cellStyle name="Normal 4 4 34" xfId="7058"/>
    <cellStyle name="Normal 4 4 34 2" xfId="14323"/>
    <cellStyle name="Normal 4 4 34 3" xfId="19202"/>
    <cellStyle name="Normal 4 4 34 4" xfId="24245"/>
    <cellStyle name="Normal 4 4 34 5" xfId="29206"/>
    <cellStyle name="Normal 4 4 34 6" xfId="34064"/>
    <cellStyle name="Normal 4 4 34 7" xfId="38795"/>
    <cellStyle name="Normal 4 4 35" xfId="7719"/>
    <cellStyle name="Normal 4 4 35 2" xfId="14799"/>
    <cellStyle name="Normal 4 4 35 3" xfId="19916"/>
    <cellStyle name="Normal 4 4 35 4" xfId="24959"/>
    <cellStyle name="Normal 4 4 35 5" xfId="29920"/>
    <cellStyle name="Normal 4 4 35 6" xfId="34778"/>
    <cellStyle name="Normal 4 4 35 7" xfId="39509"/>
    <cellStyle name="Normal 4 4 36" xfId="7565"/>
    <cellStyle name="Normal 4 4 36 2" xfId="14645"/>
    <cellStyle name="Normal 4 4 36 3" xfId="19762"/>
    <cellStyle name="Normal 4 4 36 4" xfId="24805"/>
    <cellStyle name="Normal 4 4 36 5" xfId="29766"/>
    <cellStyle name="Normal 4 4 36 6" xfId="34624"/>
    <cellStyle name="Normal 4 4 36 7" xfId="39355"/>
    <cellStyle name="Normal 4 4 37" xfId="7472"/>
    <cellStyle name="Normal 4 4 37 2" xfId="14547"/>
    <cellStyle name="Normal 4 4 37 3" xfId="19664"/>
    <cellStyle name="Normal 4 4 37 4" xfId="24707"/>
    <cellStyle name="Normal 4 4 37 5" xfId="29668"/>
    <cellStyle name="Normal 4 4 37 6" xfId="34526"/>
    <cellStyle name="Normal 4 4 37 7" xfId="39257"/>
    <cellStyle name="Normal 4 4 38" xfId="7762"/>
    <cellStyle name="Normal 4 4 38 2" xfId="14842"/>
    <cellStyle name="Normal 4 4 38 3" xfId="19959"/>
    <cellStyle name="Normal 4 4 38 4" xfId="25002"/>
    <cellStyle name="Normal 4 4 38 5" xfId="29963"/>
    <cellStyle name="Normal 4 4 38 6" xfId="34821"/>
    <cellStyle name="Normal 4 4 38 7" xfId="39552"/>
    <cellStyle name="Normal 4 4 39" xfId="7568"/>
    <cellStyle name="Normal 4 4 39 2" xfId="14648"/>
    <cellStyle name="Normal 4 4 39 3" xfId="19765"/>
    <cellStyle name="Normal 4 4 39 4" xfId="24808"/>
    <cellStyle name="Normal 4 4 39 5" xfId="29769"/>
    <cellStyle name="Normal 4 4 39 6" xfId="34627"/>
    <cellStyle name="Normal 4 4 39 7" xfId="39358"/>
    <cellStyle name="Normal 4 4 4" xfId="4230"/>
    <cellStyle name="Normal 4 4 4 2" xfId="5907"/>
    <cellStyle name="Normal 4 4 4 3" xfId="18009"/>
    <cellStyle name="Normal 4 4 4 4" xfId="23052"/>
    <cellStyle name="Normal 4 4 4 5" xfId="28013"/>
    <cellStyle name="Normal 4 4 4 6" xfId="32871"/>
    <cellStyle name="Normal 4 4 4 7" xfId="37602"/>
    <cellStyle name="Normal 4 4 40" xfId="7749"/>
    <cellStyle name="Normal 4 4 40 2" xfId="14829"/>
    <cellStyle name="Normal 4 4 40 3" xfId="19946"/>
    <cellStyle name="Normal 4 4 40 4" xfId="24989"/>
    <cellStyle name="Normal 4 4 40 5" xfId="29950"/>
    <cellStyle name="Normal 4 4 40 6" xfId="34808"/>
    <cellStyle name="Normal 4 4 40 7" xfId="39539"/>
    <cellStyle name="Normal 4 4 41" xfId="8023"/>
    <cellStyle name="Normal 4 4 41 2" xfId="15103"/>
    <cellStyle name="Normal 4 4 41 3" xfId="20220"/>
    <cellStyle name="Normal 4 4 41 4" xfId="25263"/>
    <cellStyle name="Normal 4 4 41 5" xfId="30224"/>
    <cellStyle name="Normal 4 4 41 6" xfId="35082"/>
    <cellStyle name="Normal 4 4 41 7" xfId="39813"/>
    <cellStyle name="Normal 4 4 42" xfId="7523"/>
    <cellStyle name="Normal 4 4 42 2" xfId="14601"/>
    <cellStyle name="Normal 4 4 42 3" xfId="19718"/>
    <cellStyle name="Normal 4 4 42 4" xfId="24761"/>
    <cellStyle name="Normal 4 4 42 5" xfId="29722"/>
    <cellStyle name="Normal 4 4 42 6" xfId="34580"/>
    <cellStyle name="Normal 4 4 42 7" xfId="39311"/>
    <cellStyle name="Normal 4 4 43" xfId="7471"/>
    <cellStyle name="Normal 4 4 43 2" xfId="14546"/>
    <cellStyle name="Normal 4 4 43 3" xfId="19663"/>
    <cellStyle name="Normal 4 4 43 4" xfId="24706"/>
    <cellStyle name="Normal 4 4 43 5" xfId="29667"/>
    <cellStyle name="Normal 4 4 43 6" xfId="34525"/>
    <cellStyle name="Normal 4 4 43 7" xfId="39256"/>
    <cellStyle name="Normal 4 4 44" xfId="7753"/>
    <cellStyle name="Normal 4 4 44 2" xfId="14833"/>
    <cellStyle name="Normal 4 4 44 3" xfId="19950"/>
    <cellStyle name="Normal 4 4 44 4" xfId="24993"/>
    <cellStyle name="Normal 4 4 44 5" xfId="29954"/>
    <cellStyle name="Normal 4 4 44 6" xfId="34812"/>
    <cellStyle name="Normal 4 4 44 7" xfId="39543"/>
    <cellStyle name="Normal 4 4 45" xfId="7570"/>
    <cellStyle name="Normal 4 4 45 2" xfId="14650"/>
    <cellStyle name="Normal 4 4 45 3" xfId="19767"/>
    <cellStyle name="Normal 4 4 45 4" xfId="24810"/>
    <cellStyle name="Normal 4 4 45 5" xfId="29771"/>
    <cellStyle name="Normal 4 4 45 6" xfId="34629"/>
    <cellStyle name="Normal 4 4 45 7" xfId="39360"/>
    <cellStyle name="Normal 4 4 46" xfId="7695"/>
    <cellStyle name="Normal 4 4 46 2" xfId="14775"/>
    <cellStyle name="Normal 4 4 46 3" xfId="19892"/>
    <cellStyle name="Normal 4 4 46 4" xfId="24935"/>
    <cellStyle name="Normal 4 4 46 5" xfId="29896"/>
    <cellStyle name="Normal 4 4 46 6" xfId="34754"/>
    <cellStyle name="Normal 4 4 46 7" xfId="39485"/>
    <cellStyle name="Normal 4 4 47" xfId="8056"/>
    <cellStyle name="Normal 4 4 47 2" xfId="15136"/>
    <cellStyle name="Normal 4 4 47 3" xfId="20253"/>
    <cellStyle name="Normal 4 4 47 4" xfId="25296"/>
    <cellStyle name="Normal 4 4 47 5" xfId="30257"/>
    <cellStyle name="Normal 4 4 47 6" xfId="35115"/>
    <cellStyle name="Normal 4 4 47 7" xfId="39846"/>
    <cellStyle name="Normal 4 4 48" xfId="7701"/>
    <cellStyle name="Normal 4 4 48 2" xfId="14781"/>
    <cellStyle name="Normal 4 4 48 3" xfId="19898"/>
    <cellStyle name="Normal 4 4 48 4" xfId="24941"/>
    <cellStyle name="Normal 4 4 48 5" xfId="29902"/>
    <cellStyle name="Normal 4 4 48 6" xfId="34760"/>
    <cellStyle name="Normal 4 4 48 7" xfId="39491"/>
    <cellStyle name="Normal 4 4 49" xfId="8499"/>
    <cellStyle name="Normal 4 4 49 2" xfId="15580"/>
    <cellStyle name="Normal 4 4 49 3" xfId="20697"/>
    <cellStyle name="Normal 4 4 49 4" xfId="25740"/>
    <cellStyle name="Normal 4 4 49 5" xfId="30701"/>
    <cellStyle name="Normal 4 4 49 6" xfId="35559"/>
    <cellStyle name="Normal 4 4 49 7" xfId="40290"/>
    <cellStyle name="Normal 4 4 5" xfId="4286"/>
    <cellStyle name="Normal 4 4 5 2" xfId="5806"/>
    <cellStyle name="Normal 4 4 5 3" xfId="17903"/>
    <cellStyle name="Normal 4 4 5 4" xfId="22946"/>
    <cellStyle name="Normal 4 4 5 5" xfId="27907"/>
    <cellStyle name="Normal 4 4 5 6" xfId="32765"/>
    <cellStyle name="Normal 4 4 5 7" xfId="37496"/>
    <cellStyle name="Normal 4 4 50" xfId="8350"/>
    <cellStyle name="Normal 4 4 50 2" xfId="15431"/>
    <cellStyle name="Normal 4 4 50 3" xfId="20548"/>
    <cellStyle name="Normal 4 4 50 4" xfId="25591"/>
    <cellStyle name="Normal 4 4 50 5" xfId="30552"/>
    <cellStyle name="Normal 4 4 50 6" xfId="35410"/>
    <cellStyle name="Normal 4 4 50 7" xfId="40141"/>
    <cellStyle name="Normal 4 4 51" xfId="8239"/>
    <cellStyle name="Normal 4 4 51 2" xfId="15320"/>
    <cellStyle name="Normal 4 4 51 3" xfId="20437"/>
    <cellStyle name="Normal 4 4 51 4" xfId="25480"/>
    <cellStyle name="Normal 4 4 51 5" xfId="30441"/>
    <cellStyle name="Normal 4 4 51 6" xfId="35299"/>
    <cellStyle name="Normal 4 4 51 7" xfId="40030"/>
    <cellStyle name="Normal 4 4 52" xfId="8550"/>
    <cellStyle name="Normal 4 4 52 2" xfId="15631"/>
    <cellStyle name="Normal 4 4 52 3" xfId="20748"/>
    <cellStyle name="Normal 4 4 52 4" xfId="25791"/>
    <cellStyle name="Normal 4 4 52 5" xfId="30752"/>
    <cellStyle name="Normal 4 4 52 6" xfId="35610"/>
    <cellStyle name="Normal 4 4 52 7" xfId="40341"/>
    <cellStyle name="Normal 4 4 53" xfId="8353"/>
    <cellStyle name="Normal 4 4 53 2" xfId="15434"/>
    <cellStyle name="Normal 4 4 53 3" xfId="20551"/>
    <cellStyle name="Normal 4 4 53 4" xfId="25594"/>
    <cellStyle name="Normal 4 4 53 5" xfId="30555"/>
    <cellStyle name="Normal 4 4 53 6" xfId="35413"/>
    <cellStyle name="Normal 4 4 53 7" xfId="40144"/>
    <cellStyle name="Normal 4 4 54" xfId="8537"/>
    <cellStyle name="Normal 4 4 54 2" xfId="15618"/>
    <cellStyle name="Normal 4 4 54 3" xfId="20735"/>
    <cellStyle name="Normal 4 4 54 4" xfId="25778"/>
    <cellStyle name="Normal 4 4 54 5" xfId="30739"/>
    <cellStyle name="Normal 4 4 54 6" xfId="35597"/>
    <cellStyle name="Normal 4 4 54 7" xfId="40328"/>
    <cellStyle name="Normal 4 4 55" xfId="8822"/>
    <cellStyle name="Normal 4 4 55 2" xfId="15903"/>
    <cellStyle name="Normal 4 4 55 3" xfId="21020"/>
    <cellStyle name="Normal 4 4 55 4" xfId="26063"/>
    <cellStyle name="Normal 4 4 55 5" xfId="31024"/>
    <cellStyle name="Normal 4 4 55 6" xfId="35882"/>
    <cellStyle name="Normal 4 4 55 7" xfId="40613"/>
    <cellStyle name="Normal 4 4 56" xfId="8613"/>
    <cellStyle name="Normal 4 4 56 2" xfId="15694"/>
    <cellStyle name="Normal 4 4 56 3" xfId="20811"/>
    <cellStyle name="Normal 4 4 56 4" xfId="25854"/>
    <cellStyle name="Normal 4 4 56 5" xfId="30815"/>
    <cellStyle name="Normal 4 4 56 6" xfId="35673"/>
    <cellStyle name="Normal 4 4 56 7" xfId="40404"/>
    <cellStyle name="Normal 4 4 57" xfId="8771"/>
    <cellStyle name="Normal 4 4 57 2" xfId="15852"/>
    <cellStyle name="Normal 4 4 57 3" xfId="20969"/>
    <cellStyle name="Normal 4 4 57 4" xfId="26012"/>
    <cellStyle name="Normal 4 4 57 5" xfId="30973"/>
    <cellStyle name="Normal 4 4 57 6" xfId="35831"/>
    <cellStyle name="Normal 4 4 57 7" xfId="40562"/>
    <cellStyle name="Normal 4 4 58" xfId="8656"/>
    <cellStyle name="Normal 4 4 58 2" xfId="15737"/>
    <cellStyle name="Normal 4 4 58 3" xfId="20854"/>
    <cellStyle name="Normal 4 4 58 4" xfId="25897"/>
    <cellStyle name="Normal 4 4 58 5" xfId="30858"/>
    <cellStyle name="Normal 4 4 58 6" xfId="35716"/>
    <cellStyle name="Normal 4 4 58 7" xfId="40447"/>
    <cellStyle name="Normal 4 4 59" xfId="8315"/>
    <cellStyle name="Normal 4 4 59 2" xfId="15396"/>
    <cellStyle name="Normal 4 4 59 3" xfId="20513"/>
    <cellStyle name="Normal 4 4 59 4" xfId="25556"/>
    <cellStyle name="Normal 4 4 59 5" xfId="30517"/>
    <cellStyle name="Normal 4 4 59 6" xfId="35375"/>
    <cellStyle name="Normal 4 4 59 7" xfId="40106"/>
    <cellStyle name="Normal 4 4 6" xfId="4399"/>
    <cellStyle name="Normal 4 4 6 2" xfId="6126"/>
    <cellStyle name="Normal 4 4 6 3" xfId="18230"/>
    <cellStyle name="Normal 4 4 6 4" xfId="23273"/>
    <cellStyle name="Normal 4 4 6 5" xfId="28234"/>
    <cellStyle name="Normal 4 4 6 6" xfId="33092"/>
    <cellStyle name="Normal 4 4 6 7" xfId="37823"/>
    <cellStyle name="Normal 4 4 60" xfId="8800"/>
    <cellStyle name="Normal 4 4 60 2" xfId="15881"/>
    <cellStyle name="Normal 4 4 60 3" xfId="20998"/>
    <cellStyle name="Normal 4 4 60 4" xfId="26041"/>
    <cellStyle name="Normal 4 4 60 5" xfId="31002"/>
    <cellStyle name="Normal 4 4 60 6" xfId="35860"/>
    <cellStyle name="Normal 4 4 60 7" xfId="40591"/>
    <cellStyle name="Normal 4 4 61" xfId="8621"/>
    <cellStyle name="Normal 4 4 61 2" xfId="15702"/>
    <cellStyle name="Normal 4 4 61 3" xfId="20819"/>
    <cellStyle name="Normal 4 4 61 4" xfId="25862"/>
    <cellStyle name="Normal 4 4 61 5" xfId="30823"/>
    <cellStyle name="Normal 4 4 61 6" xfId="35681"/>
    <cellStyle name="Normal 4 4 61 7" xfId="40412"/>
    <cellStyle name="Normal 4 4 62" xfId="8776"/>
    <cellStyle name="Normal 4 4 62 2" xfId="15857"/>
    <cellStyle name="Normal 4 4 62 3" xfId="20974"/>
    <cellStyle name="Normal 4 4 62 4" xfId="26017"/>
    <cellStyle name="Normal 4 4 62 5" xfId="30978"/>
    <cellStyle name="Normal 4 4 62 6" xfId="35836"/>
    <cellStyle name="Normal 4 4 62 7" xfId="40567"/>
    <cellStyle name="Normal 4 4 63" xfId="8751"/>
    <cellStyle name="Normal 4 4 63 2" xfId="15832"/>
    <cellStyle name="Normal 4 4 63 3" xfId="20949"/>
    <cellStyle name="Normal 4 4 63 4" xfId="25992"/>
    <cellStyle name="Normal 4 4 63 5" xfId="30953"/>
    <cellStyle name="Normal 4 4 63 6" xfId="35811"/>
    <cellStyle name="Normal 4 4 63 7" xfId="40542"/>
    <cellStyle name="Normal 4 4 64" xfId="9282"/>
    <cellStyle name="Normal 4 4 64 2" xfId="16363"/>
    <cellStyle name="Normal 4 4 64 3" xfId="21480"/>
    <cellStyle name="Normal 4 4 64 4" xfId="26523"/>
    <cellStyle name="Normal 4 4 64 5" xfId="31484"/>
    <cellStyle name="Normal 4 4 64 6" xfId="36342"/>
    <cellStyle name="Normal 4 4 64 7" xfId="41073"/>
    <cellStyle name="Normal 4 4 65" xfId="9151"/>
    <cellStyle name="Normal 4 4 65 2" xfId="16232"/>
    <cellStyle name="Normal 4 4 65 3" xfId="21349"/>
    <cellStyle name="Normal 4 4 65 4" xfId="26392"/>
    <cellStyle name="Normal 4 4 65 5" xfId="31353"/>
    <cellStyle name="Normal 4 4 65 6" xfId="36211"/>
    <cellStyle name="Normal 4 4 65 7" xfId="40942"/>
    <cellStyle name="Normal 4 4 66" xfId="9064"/>
    <cellStyle name="Normal 4 4 66 2" xfId="16145"/>
    <cellStyle name="Normal 4 4 66 3" xfId="21262"/>
    <cellStyle name="Normal 4 4 66 4" xfId="26305"/>
    <cellStyle name="Normal 4 4 66 5" xfId="31266"/>
    <cellStyle name="Normal 4 4 66 6" xfId="36124"/>
    <cellStyle name="Normal 4 4 66 7" xfId="40855"/>
    <cellStyle name="Normal 4 4 67" xfId="9323"/>
    <cellStyle name="Normal 4 4 67 2" xfId="16404"/>
    <cellStyle name="Normal 4 4 67 3" xfId="21521"/>
    <cellStyle name="Normal 4 4 67 4" xfId="26564"/>
    <cellStyle name="Normal 4 4 67 5" xfId="31525"/>
    <cellStyle name="Normal 4 4 67 6" xfId="36383"/>
    <cellStyle name="Normal 4 4 67 7" xfId="41114"/>
    <cellStyle name="Normal 4 4 68" xfId="9154"/>
    <cellStyle name="Normal 4 4 68 2" xfId="16235"/>
    <cellStyle name="Normal 4 4 68 3" xfId="21352"/>
    <cellStyle name="Normal 4 4 68 4" xfId="26395"/>
    <cellStyle name="Normal 4 4 68 5" xfId="31356"/>
    <cellStyle name="Normal 4 4 68 6" xfId="36214"/>
    <cellStyle name="Normal 4 4 68 7" xfId="40945"/>
    <cellStyle name="Normal 4 4 69" xfId="9312"/>
    <cellStyle name="Normal 4 4 69 2" xfId="16393"/>
    <cellStyle name="Normal 4 4 69 3" xfId="21510"/>
    <cellStyle name="Normal 4 4 69 4" xfId="26553"/>
    <cellStyle name="Normal 4 4 69 5" xfId="31514"/>
    <cellStyle name="Normal 4 4 69 6" xfId="36372"/>
    <cellStyle name="Normal 4 4 69 7" xfId="41103"/>
    <cellStyle name="Normal 4 4 7" xfId="4455"/>
    <cellStyle name="Normal 4 4 7 2" xfId="5910"/>
    <cellStyle name="Normal 4 4 7 3" xfId="18012"/>
    <cellStyle name="Normal 4 4 7 4" xfId="23055"/>
    <cellStyle name="Normal 4 4 7 5" xfId="28016"/>
    <cellStyle name="Normal 4 4 7 6" xfId="32874"/>
    <cellStyle name="Normal 4 4 7 7" xfId="37605"/>
    <cellStyle name="Normal 4 4 70" xfId="9545"/>
    <cellStyle name="Normal 4 4 70 2" xfId="16626"/>
    <cellStyle name="Normal 4 4 70 3" xfId="21743"/>
    <cellStyle name="Normal 4 4 70 4" xfId="26786"/>
    <cellStyle name="Normal 4 4 70 5" xfId="31747"/>
    <cellStyle name="Normal 4 4 70 6" xfId="36605"/>
    <cellStyle name="Normal 4 4 70 7" xfId="41336"/>
    <cellStyle name="Normal 4 4 71" xfId="9113"/>
    <cellStyle name="Normal 4 4 71 2" xfId="16194"/>
    <cellStyle name="Normal 4 4 71 3" xfId="21311"/>
    <cellStyle name="Normal 4 4 71 4" xfId="26354"/>
    <cellStyle name="Normal 4 4 71 5" xfId="31315"/>
    <cellStyle name="Normal 4 4 71 6" xfId="36173"/>
    <cellStyle name="Normal 4 4 71 7" xfId="40904"/>
    <cellStyle name="Normal 4 4 72" xfId="9063"/>
    <cellStyle name="Normal 4 4 72 2" xfId="16144"/>
    <cellStyle name="Normal 4 4 72 3" xfId="21261"/>
    <cellStyle name="Normal 4 4 72 4" xfId="26304"/>
    <cellStyle name="Normal 4 4 72 5" xfId="31265"/>
    <cellStyle name="Normal 4 4 72 6" xfId="36123"/>
    <cellStyle name="Normal 4 4 72 7" xfId="40854"/>
    <cellStyle name="Normal 4 4 73" xfId="9315"/>
    <cellStyle name="Normal 4 4 73 2" xfId="16396"/>
    <cellStyle name="Normal 4 4 73 3" xfId="21513"/>
    <cellStyle name="Normal 4 4 73 4" xfId="26556"/>
    <cellStyle name="Normal 4 4 73 5" xfId="31517"/>
    <cellStyle name="Normal 4 4 73 6" xfId="36375"/>
    <cellStyle name="Normal 4 4 73 7" xfId="41106"/>
    <cellStyle name="Normal 4 4 74" xfId="9155"/>
    <cellStyle name="Normal 4 4 74 2" xfId="16236"/>
    <cellStyle name="Normal 4 4 74 3" xfId="21353"/>
    <cellStyle name="Normal 4 4 74 4" xfId="26396"/>
    <cellStyle name="Normal 4 4 74 5" xfId="31357"/>
    <cellStyle name="Normal 4 4 74 6" xfId="36215"/>
    <cellStyle name="Normal 4 4 74 7" xfId="40946"/>
    <cellStyle name="Normal 4 4 75" xfId="9262"/>
    <cellStyle name="Normal 4 4 75 2" xfId="16343"/>
    <cellStyle name="Normal 4 4 75 3" xfId="21460"/>
    <cellStyle name="Normal 4 4 75 4" xfId="26503"/>
    <cellStyle name="Normal 4 4 75 5" xfId="31464"/>
    <cellStyle name="Normal 4 4 75 6" xfId="36322"/>
    <cellStyle name="Normal 4 4 75 7" xfId="41053"/>
    <cellStyle name="Normal 4 4 76" xfId="9829"/>
    <cellStyle name="Normal 4 4 76 2" xfId="16910"/>
    <cellStyle name="Normal 4 4 76 3" xfId="22027"/>
    <cellStyle name="Normal 4 4 76 4" xfId="27070"/>
    <cellStyle name="Normal 4 4 76 5" xfId="32031"/>
    <cellStyle name="Normal 4 4 76 6" xfId="36889"/>
    <cellStyle name="Normal 4 4 76 7" xfId="41620"/>
    <cellStyle name="Normal 4 4 77" xfId="9767"/>
    <cellStyle name="Normal 4 4 77 2" xfId="16848"/>
    <cellStyle name="Normal 4 4 77 3" xfId="21965"/>
    <cellStyle name="Normal 4 4 77 4" xfId="27008"/>
    <cellStyle name="Normal 4 4 77 5" xfId="31969"/>
    <cellStyle name="Normal 4 4 77 6" xfId="36827"/>
    <cellStyle name="Normal 4 4 77 7" xfId="41558"/>
    <cellStyle name="Normal 4 4 78" xfId="9723"/>
    <cellStyle name="Normal 4 4 78 2" xfId="16804"/>
    <cellStyle name="Normal 4 4 78 3" xfId="21921"/>
    <cellStyle name="Normal 4 4 78 4" xfId="26964"/>
    <cellStyle name="Normal 4 4 78 5" xfId="31925"/>
    <cellStyle name="Normal 4 4 78 6" xfId="36783"/>
    <cellStyle name="Normal 4 4 78 7" xfId="41514"/>
    <cellStyle name="Normal 4 4 79" xfId="9849"/>
    <cellStyle name="Normal 4 4 79 2" xfId="16930"/>
    <cellStyle name="Normal 4 4 79 3" xfId="22047"/>
    <cellStyle name="Normal 4 4 79 4" xfId="27090"/>
    <cellStyle name="Normal 4 4 79 5" xfId="32051"/>
    <cellStyle name="Normal 4 4 79 6" xfId="36909"/>
    <cellStyle name="Normal 4 4 79 7" xfId="41640"/>
    <cellStyle name="Normal 4 4 8" xfId="4543"/>
    <cellStyle name="Normal 4 4 8 2" xfId="6111"/>
    <cellStyle name="Normal 4 4 8 3" xfId="18215"/>
    <cellStyle name="Normal 4 4 8 4" xfId="23258"/>
    <cellStyle name="Normal 4 4 8 5" xfId="28219"/>
    <cellStyle name="Normal 4 4 8 6" xfId="33077"/>
    <cellStyle name="Normal 4 4 8 7" xfId="37808"/>
    <cellStyle name="Normal 4 4 80" xfId="9768"/>
    <cellStyle name="Normal 4 4 80 2" xfId="16849"/>
    <cellStyle name="Normal 4 4 80 3" xfId="21966"/>
    <cellStyle name="Normal 4 4 80 4" xfId="27009"/>
    <cellStyle name="Normal 4 4 80 5" xfId="31970"/>
    <cellStyle name="Normal 4 4 80 6" xfId="36828"/>
    <cellStyle name="Normal 4 4 80 7" xfId="41559"/>
    <cellStyle name="Normal 4 4 81" xfId="9844"/>
    <cellStyle name="Normal 4 4 81 2" xfId="16925"/>
    <cellStyle name="Normal 4 4 81 3" xfId="22042"/>
    <cellStyle name="Normal 4 4 81 4" xfId="27085"/>
    <cellStyle name="Normal 4 4 81 5" xfId="32046"/>
    <cellStyle name="Normal 4 4 81 6" xfId="36904"/>
    <cellStyle name="Normal 4 4 81 7" xfId="41635"/>
    <cellStyle name="Normal 4 4 82" xfId="10159"/>
    <cellStyle name="Normal 4 4 82 2" xfId="17240"/>
    <cellStyle name="Normal 4 4 82 3" xfId="22357"/>
    <cellStyle name="Normal 4 4 82 4" xfId="27400"/>
    <cellStyle name="Normal 4 4 82 5" xfId="32361"/>
    <cellStyle name="Normal 4 4 82 6" xfId="37219"/>
    <cellStyle name="Normal 4 4 82 7" xfId="41950"/>
    <cellStyle name="Normal 4 4 83" xfId="10097"/>
    <cellStyle name="Normal 4 4 83 2" xfId="17178"/>
    <cellStyle name="Normal 4 4 83 3" xfId="22295"/>
    <cellStyle name="Normal 4 4 83 4" xfId="27338"/>
    <cellStyle name="Normal 4 4 83 5" xfId="32299"/>
    <cellStyle name="Normal 4 4 83 6" xfId="37157"/>
    <cellStyle name="Normal 4 4 83 7" xfId="41888"/>
    <cellStyle name="Normal 4 4 84" xfId="10053"/>
    <cellStyle name="Normal 4 4 84 2" xfId="17134"/>
    <cellStyle name="Normal 4 4 84 3" xfId="22251"/>
    <cellStyle name="Normal 4 4 84 4" xfId="27294"/>
    <cellStyle name="Normal 4 4 84 5" xfId="32255"/>
    <cellStyle name="Normal 4 4 84 6" xfId="37113"/>
    <cellStyle name="Normal 4 4 84 7" xfId="41844"/>
    <cellStyle name="Normal 4 4 85" xfId="10179"/>
    <cellStyle name="Normal 4 4 85 2" xfId="17260"/>
    <cellStyle name="Normal 4 4 85 3" xfId="22377"/>
    <cellStyle name="Normal 4 4 85 4" xfId="27420"/>
    <cellStyle name="Normal 4 4 85 5" xfId="32381"/>
    <cellStyle name="Normal 4 4 85 6" xfId="37239"/>
    <cellStyle name="Normal 4 4 85 7" xfId="41970"/>
    <cellStyle name="Normal 4 4 86" xfId="10098"/>
    <cellStyle name="Normal 4 4 86 2" xfId="17179"/>
    <cellStyle name="Normal 4 4 86 3" xfId="22296"/>
    <cellStyle name="Normal 4 4 86 4" xfId="27339"/>
    <cellStyle name="Normal 4 4 86 5" xfId="32300"/>
    <cellStyle name="Normal 4 4 86 6" xfId="37158"/>
    <cellStyle name="Normal 4 4 86 7" xfId="41889"/>
    <cellStyle name="Normal 4 4 87" xfId="10174"/>
    <cellStyle name="Normal 4 4 87 2" xfId="17255"/>
    <cellStyle name="Normal 4 4 87 3" xfId="22372"/>
    <cellStyle name="Normal 4 4 87 4" xfId="27415"/>
    <cellStyle name="Normal 4 4 87 5" xfId="32376"/>
    <cellStyle name="Normal 4 4 87 6" xfId="37234"/>
    <cellStyle name="Normal 4 4 87 7" xfId="41965"/>
    <cellStyle name="Normal 4 4 88" xfId="12519"/>
    <cellStyle name="Normal 4 4 89" xfId="12986"/>
    <cellStyle name="Normal 4 4 9" xfId="4516"/>
    <cellStyle name="Normal 4 4 9 2" xfId="6414"/>
    <cellStyle name="Normal 4 4 9 3" xfId="18524"/>
    <cellStyle name="Normal 4 4 9 4" xfId="23567"/>
    <cellStyle name="Normal 4 4 9 5" xfId="28528"/>
    <cellStyle name="Normal 4 4 9 6" xfId="33386"/>
    <cellStyle name="Normal 4 4 9 7" xfId="38117"/>
    <cellStyle name="Normal 4 4 90" xfId="11806"/>
    <cellStyle name="Normal 4 4 91" xfId="12716"/>
    <cellStyle name="Normal 4 4 92" xfId="12470"/>
    <cellStyle name="Normal 4 4 93" xfId="12161"/>
    <cellStyle name="Normal 4 5" xfId="2457"/>
    <cellStyle name="Normal 4 5 2" xfId="13004"/>
    <cellStyle name="Normal 4 5 3" xfId="12976"/>
    <cellStyle name="Normal 4 5 4" xfId="12185"/>
    <cellStyle name="Normal 4 5 5" xfId="13077"/>
    <cellStyle name="Normal 4 5 6" xfId="12549"/>
    <cellStyle name="Normal 4 5 7" xfId="13303"/>
    <cellStyle name="Normal 4 6" xfId="10383"/>
    <cellStyle name="Normal 4 7" xfId="10696"/>
    <cellStyle name="Normal 4 8" xfId="10980"/>
    <cellStyle name="Normal 4 9" xfId="11265"/>
    <cellStyle name="Normal 40" xfId="259"/>
    <cellStyle name="Normal 40 10" xfId="12626"/>
    <cellStyle name="Normal 40 2" xfId="10470"/>
    <cellStyle name="Normal 40 3" xfId="10783"/>
    <cellStyle name="Normal 40 4" xfId="11067"/>
    <cellStyle name="Normal 40 5" xfId="11459"/>
    <cellStyle name="Normal 40 6" xfId="11657"/>
    <cellStyle name="Normal 40 7" xfId="13428"/>
    <cellStyle name="Normal 40 8" xfId="11666"/>
    <cellStyle name="Normal 40 9" xfId="13090"/>
    <cellStyle name="Normal 41" xfId="261"/>
    <cellStyle name="Normal 41 10" xfId="27690"/>
    <cellStyle name="Normal 41 2" xfId="10472"/>
    <cellStyle name="Normal 41 3" xfId="10785"/>
    <cellStyle name="Normal 41 4" xfId="11069"/>
    <cellStyle name="Normal 41 5" xfId="11461"/>
    <cellStyle name="Normal 41 6" xfId="11663"/>
    <cellStyle name="Normal 41 7" xfId="13835"/>
    <cellStyle name="Normal 41 8" xfId="17575"/>
    <cellStyle name="Normal 41 9" xfId="22670"/>
    <cellStyle name="Normal 42" xfId="263"/>
    <cellStyle name="Normal 42 10" xfId="27812"/>
    <cellStyle name="Normal 42 2" xfId="10474"/>
    <cellStyle name="Normal 42 3" xfId="10787"/>
    <cellStyle name="Normal 42 4" xfId="11071"/>
    <cellStyle name="Normal 42 5" xfId="11463"/>
    <cellStyle name="Normal 42 6" xfId="11732"/>
    <cellStyle name="Normal 42 7" xfId="14034"/>
    <cellStyle name="Normal 42 8" xfId="17752"/>
    <cellStyle name="Normal 42 9" xfId="22822"/>
    <cellStyle name="Normal 43" xfId="265"/>
    <cellStyle name="Normal 43 10" xfId="32658"/>
    <cellStyle name="Normal 43 2" xfId="10476"/>
    <cellStyle name="Normal 43 3" xfId="10789"/>
    <cellStyle name="Normal 43 4" xfId="11073"/>
    <cellStyle name="Normal 43 5" xfId="11465"/>
    <cellStyle name="Normal 43 6" xfId="13932"/>
    <cellStyle name="Normal 43 7" xfId="17662"/>
    <cellStyle name="Normal 43 8" xfId="22744"/>
    <cellStyle name="Normal 43 9" xfId="27749"/>
    <cellStyle name="Normal 44" xfId="267"/>
    <cellStyle name="Normal 44 10" xfId="13203"/>
    <cellStyle name="Normal 44 2" xfId="10478"/>
    <cellStyle name="Normal 44 3" xfId="10791"/>
    <cellStyle name="Normal 44 4" xfId="11075"/>
    <cellStyle name="Normal 44 5" xfId="11467"/>
    <cellStyle name="Normal 44 6" xfId="12726"/>
    <cellStyle name="Normal 44 7" xfId="12688"/>
    <cellStyle name="Normal 44 8" xfId="12292"/>
    <cellStyle name="Normal 44 9" xfId="12091"/>
    <cellStyle name="Normal 45" xfId="269"/>
    <cellStyle name="Normal 45 10" xfId="13133"/>
    <cellStyle name="Normal 45 2" xfId="10480"/>
    <cellStyle name="Normal 45 3" xfId="10793"/>
    <cellStyle name="Normal 45 4" xfId="11077"/>
    <cellStyle name="Normal 45 5" xfId="11469"/>
    <cellStyle name="Normal 45 6" xfId="12803"/>
    <cellStyle name="Normal 45 7" xfId="12654"/>
    <cellStyle name="Normal 45 8" xfId="11760"/>
    <cellStyle name="Normal 45 9" xfId="10690"/>
    <cellStyle name="Normal 46" xfId="271"/>
    <cellStyle name="Normal 46 10" xfId="11992"/>
    <cellStyle name="Normal 46 2" xfId="10482"/>
    <cellStyle name="Normal 46 3" xfId="10795"/>
    <cellStyle name="Normal 46 4" xfId="11079"/>
    <cellStyle name="Normal 46 5" xfId="11471"/>
    <cellStyle name="Normal 46 6" xfId="13124"/>
    <cellStyle name="Normal 46 7" xfId="11690"/>
    <cellStyle name="Normal 46 8" xfId="12179"/>
    <cellStyle name="Normal 46 9" xfId="12700"/>
    <cellStyle name="Normal 47" xfId="273"/>
    <cellStyle name="Normal 47 10" xfId="22912"/>
    <cellStyle name="Normal 47 2" xfId="10484"/>
    <cellStyle name="Normal 47 3" xfId="10797"/>
    <cellStyle name="Normal 47 4" xfId="11081"/>
    <cellStyle name="Normal 47 5" xfId="11473"/>
    <cellStyle name="Normal 47 6" xfId="11341"/>
    <cellStyle name="Normal 47 7" xfId="12840"/>
    <cellStyle name="Normal 47 8" xfId="14160"/>
    <cellStyle name="Normal 47 9" xfId="17864"/>
    <cellStyle name="Normal 48" xfId="275"/>
    <cellStyle name="Normal 48 10" xfId="32721"/>
    <cellStyle name="Normal 48 2" xfId="10486"/>
    <cellStyle name="Normal 48 3" xfId="10799"/>
    <cellStyle name="Normal 48 4" xfId="11083"/>
    <cellStyle name="Normal 48 5" xfId="11475"/>
    <cellStyle name="Normal 48 6" xfId="14094"/>
    <cellStyle name="Normal 48 7" xfId="17806"/>
    <cellStyle name="Normal 48 8" xfId="22869"/>
    <cellStyle name="Normal 48 9" xfId="27844"/>
    <cellStyle name="Normal 49" xfId="277"/>
    <cellStyle name="Normal 49 10" xfId="32632"/>
    <cellStyle name="Normal 49 2" xfId="10488"/>
    <cellStyle name="Normal 49 3" xfId="10801"/>
    <cellStyle name="Normal 49 4" xfId="11085"/>
    <cellStyle name="Normal 49 5" xfId="11477"/>
    <cellStyle name="Normal 49 6" xfId="13850"/>
    <cellStyle name="Normal 49 7" xfId="17589"/>
    <cellStyle name="Normal 49 8" xfId="22683"/>
    <cellStyle name="Normal 49 9" xfId="27701"/>
    <cellStyle name="Normal 5" xfId="52"/>
    <cellStyle name="Normal 5 10" xfId="13575"/>
    <cellStyle name="Normal 5 11" xfId="12919"/>
    <cellStyle name="Normal 5 12" xfId="12134"/>
    <cellStyle name="Normal 5 13" xfId="13890"/>
    <cellStyle name="Normal 5 14" xfId="17624"/>
    <cellStyle name="Normal 5 2" xfId="1310"/>
    <cellStyle name="Normal 5 2 10" xfId="4606"/>
    <cellStyle name="Normal 5 2 10 2" xfId="6127"/>
    <cellStyle name="Normal 5 2 10 3" xfId="18231"/>
    <cellStyle name="Normal 5 2 10 4" xfId="23274"/>
    <cellStyle name="Normal 5 2 10 5" xfId="28235"/>
    <cellStyle name="Normal 5 2 10 6" xfId="33093"/>
    <cellStyle name="Normal 5 2 10 7" xfId="37824"/>
    <cellStyle name="Normal 5 2 11" xfId="4521"/>
    <cellStyle name="Normal 5 2 11 2" xfId="5942"/>
    <cellStyle name="Normal 5 2 11 3" xfId="18044"/>
    <cellStyle name="Normal 5 2 11 4" xfId="23087"/>
    <cellStyle name="Normal 5 2 11 5" xfId="28048"/>
    <cellStyle name="Normal 5 2 11 6" xfId="32906"/>
    <cellStyle name="Normal 5 2 11 7" xfId="37637"/>
    <cellStyle name="Normal 5 2 12" xfId="4674"/>
    <cellStyle name="Normal 5 2 12 2" xfId="6445"/>
    <cellStyle name="Normal 5 2 12 3" xfId="18555"/>
    <cellStyle name="Normal 5 2 12 4" xfId="23598"/>
    <cellStyle name="Normal 5 2 12 5" xfId="28559"/>
    <cellStyle name="Normal 5 2 12 6" xfId="33417"/>
    <cellStyle name="Normal 5 2 12 7" xfId="38148"/>
    <cellStyle name="Normal 5 2 13" xfId="4794"/>
    <cellStyle name="Normal 5 2 13 2" xfId="5936"/>
    <cellStyle name="Normal 5 2 13 3" xfId="18038"/>
    <cellStyle name="Normal 5 2 13 4" xfId="23081"/>
    <cellStyle name="Normal 5 2 13 5" xfId="28042"/>
    <cellStyle name="Normal 5 2 13 6" xfId="32900"/>
    <cellStyle name="Normal 5 2 13 7" xfId="37631"/>
    <cellStyle name="Normal 5 2 14" xfId="4891"/>
    <cellStyle name="Normal 5 2 14 2" xfId="5931"/>
    <cellStyle name="Normal 5 2 14 3" xfId="18033"/>
    <cellStyle name="Normal 5 2 14 4" xfId="23076"/>
    <cellStyle name="Normal 5 2 14 5" xfId="28037"/>
    <cellStyle name="Normal 5 2 14 6" xfId="32895"/>
    <cellStyle name="Normal 5 2 14 7" xfId="37626"/>
    <cellStyle name="Normal 5 2 15" xfId="4885"/>
    <cellStyle name="Normal 5 2 15 2" xfId="6054"/>
    <cellStyle name="Normal 5 2 15 3" xfId="18158"/>
    <cellStyle name="Normal 5 2 15 4" xfId="23201"/>
    <cellStyle name="Normal 5 2 15 5" xfId="28162"/>
    <cellStyle name="Normal 5 2 15 6" xfId="33020"/>
    <cellStyle name="Normal 5 2 15 7" xfId="37751"/>
    <cellStyle name="Normal 5 2 16" xfId="4803"/>
    <cellStyle name="Normal 5 2 16 2" xfId="6166"/>
    <cellStyle name="Normal 5 2 16 3" xfId="18270"/>
    <cellStyle name="Normal 5 2 16 4" xfId="23313"/>
    <cellStyle name="Normal 5 2 16 5" xfId="28274"/>
    <cellStyle name="Normal 5 2 16 6" xfId="33132"/>
    <cellStyle name="Normal 5 2 16 7" xfId="37863"/>
    <cellStyle name="Normal 5 2 17" xfId="5011"/>
    <cellStyle name="Normal 5 2 17 2" xfId="6050"/>
    <cellStyle name="Normal 5 2 17 3" xfId="18154"/>
    <cellStyle name="Normal 5 2 17 4" xfId="23197"/>
    <cellStyle name="Normal 5 2 17 5" xfId="28158"/>
    <cellStyle name="Normal 5 2 17 6" xfId="33016"/>
    <cellStyle name="Normal 5 2 17 7" xfId="37747"/>
    <cellStyle name="Normal 5 2 18" xfId="5113"/>
    <cellStyle name="Normal 5 2 18 2" xfId="5857"/>
    <cellStyle name="Normal 5 2 18 3" xfId="17957"/>
    <cellStyle name="Normal 5 2 18 4" xfId="23000"/>
    <cellStyle name="Normal 5 2 18 5" xfId="27961"/>
    <cellStyle name="Normal 5 2 18 6" xfId="32819"/>
    <cellStyle name="Normal 5 2 18 7" xfId="37550"/>
    <cellStyle name="Normal 5 2 19" xfId="5057"/>
    <cellStyle name="Normal 5 2 19 2" xfId="6157"/>
    <cellStyle name="Normal 5 2 19 3" xfId="18261"/>
    <cellStyle name="Normal 5 2 19 4" xfId="23304"/>
    <cellStyle name="Normal 5 2 19 5" xfId="28265"/>
    <cellStyle name="Normal 5 2 19 6" xfId="33123"/>
    <cellStyle name="Normal 5 2 19 7" xfId="37854"/>
    <cellStyle name="Normal 5 2 2" xfId="1317"/>
    <cellStyle name="Normal 5 2 2 2" xfId="2487"/>
    <cellStyle name="Normal 5 2 2 2 10" xfId="4626"/>
    <cellStyle name="Normal 5 2 2 2 10 2" xfId="5918"/>
    <cellStyle name="Normal 5 2 2 2 10 3" xfId="18020"/>
    <cellStyle name="Normal 5 2 2 2 10 4" xfId="23063"/>
    <cellStyle name="Normal 5 2 2 2 10 5" xfId="28024"/>
    <cellStyle name="Normal 5 2 2 2 10 6" xfId="32882"/>
    <cellStyle name="Normal 5 2 2 2 10 7" xfId="37613"/>
    <cellStyle name="Normal 5 2 2 2 11" xfId="4696"/>
    <cellStyle name="Normal 5 2 2 2 11 2" xfId="5821"/>
    <cellStyle name="Normal 5 2 2 2 11 3" xfId="17920"/>
    <cellStyle name="Normal 5 2 2 2 11 4" xfId="22963"/>
    <cellStyle name="Normal 5 2 2 2 11 5" xfId="27924"/>
    <cellStyle name="Normal 5 2 2 2 11 6" xfId="32782"/>
    <cellStyle name="Normal 5 2 2 2 11 7" xfId="37513"/>
    <cellStyle name="Normal 5 2 2 2 12" xfId="4852"/>
    <cellStyle name="Normal 5 2 2 2 12 2" xfId="5896"/>
    <cellStyle name="Normal 5 2 2 2 12 3" xfId="17997"/>
    <cellStyle name="Normal 5 2 2 2 12 4" xfId="23040"/>
    <cellStyle name="Normal 5 2 2 2 12 5" xfId="28001"/>
    <cellStyle name="Normal 5 2 2 2 12 6" xfId="32859"/>
    <cellStyle name="Normal 5 2 2 2 12 7" xfId="37590"/>
    <cellStyle name="Normal 5 2 2 2 13" xfId="4872"/>
    <cellStyle name="Normal 5 2 2 2 13 2" xfId="5886"/>
    <cellStyle name="Normal 5 2 2 2 13 3" xfId="17986"/>
    <cellStyle name="Normal 5 2 2 2 13 4" xfId="23029"/>
    <cellStyle name="Normal 5 2 2 2 13 5" xfId="27990"/>
    <cellStyle name="Normal 5 2 2 2 13 6" xfId="32848"/>
    <cellStyle name="Normal 5 2 2 2 13 7" xfId="37579"/>
    <cellStyle name="Normal 5 2 2 2 14" xfId="4778"/>
    <cellStyle name="Normal 5 2 2 2 14 2" xfId="5809"/>
    <cellStyle name="Normal 5 2 2 2 14 3" xfId="17906"/>
    <cellStyle name="Normal 5 2 2 2 14 4" xfId="22949"/>
    <cellStyle name="Normal 5 2 2 2 14 5" xfId="27910"/>
    <cellStyle name="Normal 5 2 2 2 14 6" xfId="32768"/>
    <cellStyle name="Normal 5 2 2 2 14 7" xfId="37499"/>
    <cellStyle name="Normal 5 2 2 2 15" xfId="4883"/>
    <cellStyle name="Normal 5 2 2 2 15 2" xfId="6057"/>
    <cellStyle name="Normal 5 2 2 2 15 3" xfId="18161"/>
    <cellStyle name="Normal 5 2 2 2 15 4" xfId="23204"/>
    <cellStyle name="Normal 5 2 2 2 15 5" xfId="28165"/>
    <cellStyle name="Normal 5 2 2 2 15 6" xfId="33023"/>
    <cellStyle name="Normal 5 2 2 2 15 7" xfId="37754"/>
    <cellStyle name="Normal 5 2 2 2 16" xfId="5077"/>
    <cellStyle name="Normal 5 2 2 2 16 2" xfId="5864"/>
    <cellStyle name="Normal 5 2 2 2 16 3" xfId="17964"/>
    <cellStyle name="Normal 5 2 2 2 16 4" xfId="23007"/>
    <cellStyle name="Normal 5 2 2 2 16 5" xfId="27968"/>
    <cellStyle name="Normal 5 2 2 2 16 6" xfId="32826"/>
    <cellStyle name="Normal 5 2 2 2 16 7" xfId="37557"/>
    <cellStyle name="Normal 5 2 2 2 17" xfId="5097"/>
    <cellStyle name="Normal 5 2 2 2 17 2" xfId="5847"/>
    <cellStyle name="Normal 5 2 2 2 17 3" xfId="17947"/>
    <cellStyle name="Normal 5 2 2 2 17 4" xfId="22990"/>
    <cellStyle name="Normal 5 2 2 2 17 5" xfId="27951"/>
    <cellStyle name="Normal 5 2 2 2 17 6" xfId="32809"/>
    <cellStyle name="Normal 5 2 2 2 17 7" xfId="37540"/>
    <cellStyle name="Normal 5 2 2 2 18" xfId="5109"/>
    <cellStyle name="Normal 5 2 2 2 18 2" xfId="5837"/>
    <cellStyle name="Normal 5 2 2 2 18 3" xfId="17937"/>
    <cellStyle name="Normal 5 2 2 2 18 4" xfId="22980"/>
    <cellStyle name="Normal 5 2 2 2 18 5" xfId="27941"/>
    <cellStyle name="Normal 5 2 2 2 18 6" xfId="32799"/>
    <cellStyle name="Normal 5 2 2 2 18 7" xfId="37530"/>
    <cellStyle name="Normal 5 2 2 2 19" xfId="5147"/>
    <cellStyle name="Normal 5 2 2 2 19 2" xfId="6772"/>
    <cellStyle name="Normal 5 2 2 2 19 3" xfId="18893"/>
    <cellStyle name="Normal 5 2 2 2 19 4" xfId="23936"/>
    <cellStyle name="Normal 5 2 2 2 19 5" xfId="28897"/>
    <cellStyle name="Normal 5 2 2 2 19 6" xfId="33755"/>
    <cellStyle name="Normal 5 2 2 2 19 7" xfId="38486"/>
    <cellStyle name="Normal 5 2 2 2 2" xfId="2493"/>
    <cellStyle name="Normal 5 2 2 2 2 2" xfId="13040"/>
    <cellStyle name="Normal 5 2 2 2 2 3" xfId="12671"/>
    <cellStyle name="Normal 5 2 2 2 2 4" xfId="12668"/>
    <cellStyle name="Normal 5 2 2 2 2 5" xfId="13531"/>
    <cellStyle name="Normal 5 2 2 2 2 6" xfId="11956"/>
    <cellStyle name="Normal 5 2 2 2 2 7" xfId="12477"/>
    <cellStyle name="Normal 5 2 2 2 20" xfId="5430"/>
    <cellStyle name="Normal 5 2 2 2 20 2" xfId="6791"/>
    <cellStyle name="Normal 5 2 2 2 20 3" xfId="18912"/>
    <cellStyle name="Normal 5 2 2 2 20 4" xfId="23955"/>
    <cellStyle name="Normal 5 2 2 2 20 5" xfId="28916"/>
    <cellStyle name="Normal 5 2 2 2 20 6" xfId="33774"/>
    <cellStyle name="Normal 5 2 2 2 20 7" xfId="38505"/>
    <cellStyle name="Normal 5 2 2 2 21" xfId="5460"/>
    <cellStyle name="Normal 5 2 2 2 21 2" xfId="6697"/>
    <cellStyle name="Normal 5 2 2 2 21 3" xfId="18818"/>
    <cellStyle name="Normal 5 2 2 2 21 4" xfId="23861"/>
    <cellStyle name="Normal 5 2 2 2 21 5" xfId="28822"/>
    <cellStyle name="Normal 5 2 2 2 21 6" xfId="33680"/>
    <cellStyle name="Normal 5 2 2 2 21 7" xfId="38411"/>
    <cellStyle name="Normal 5 2 2 2 22" xfId="5280"/>
    <cellStyle name="Normal 5 2 2 2 22 2" xfId="6751"/>
    <cellStyle name="Normal 5 2 2 2 22 3" xfId="18872"/>
    <cellStyle name="Normal 5 2 2 2 22 4" xfId="23915"/>
    <cellStyle name="Normal 5 2 2 2 22 5" xfId="28876"/>
    <cellStyle name="Normal 5 2 2 2 22 6" xfId="33734"/>
    <cellStyle name="Normal 5 2 2 2 22 7" xfId="38465"/>
    <cellStyle name="Normal 5 2 2 2 23" xfId="5489"/>
    <cellStyle name="Normal 5 2 2 2 23 2" xfId="7175"/>
    <cellStyle name="Normal 5 2 2 2 23 3" xfId="19330"/>
    <cellStyle name="Normal 5 2 2 2 23 4" xfId="24373"/>
    <cellStyle name="Normal 5 2 2 2 23 5" xfId="29334"/>
    <cellStyle name="Normal 5 2 2 2 23 6" xfId="34192"/>
    <cellStyle name="Normal 5 2 2 2 23 7" xfId="38923"/>
    <cellStyle name="Normal 5 2 2 2 24" xfId="5283"/>
    <cellStyle name="Normal 5 2 2 2 24 2" xfId="7210"/>
    <cellStyle name="Normal 5 2 2 2 24 3" xfId="19367"/>
    <cellStyle name="Normal 5 2 2 2 24 4" xfId="24410"/>
    <cellStyle name="Normal 5 2 2 2 24 5" xfId="29371"/>
    <cellStyle name="Normal 5 2 2 2 24 6" xfId="34229"/>
    <cellStyle name="Normal 5 2 2 2 24 7" xfId="38960"/>
    <cellStyle name="Normal 5 2 2 2 25" xfId="5331"/>
    <cellStyle name="Normal 5 2 2 2 25 2" xfId="6984"/>
    <cellStyle name="Normal 5 2 2 2 25 3" xfId="19118"/>
    <cellStyle name="Normal 5 2 2 2 25 4" xfId="24161"/>
    <cellStyle name="Normal 5 2 2 2 25 5" xfId="29122"/>
    <cellStyle name="Normal 5 2 2 2 25 6" xfId="33980"/>
    <cellStyle name="Normal 5 2 2 2 25 7" xfId="38711"/>
    <cellStyle name="Normal 5 2 2 2 26" xfId="5503"/>
    <cellStyle name="Normal 5 2 2 2 26 2" xfId="7138"/>
    <cellStyle name="Normal 5 2 2 2 26 3" xfId="19289"/>
    <cellStyle name="Normal 5 2 2 2 26 4" xfId="24332"/>
    <cellStyle name="Normal 5 2 2 2 26 5" xfId="29293"/>
    <cellStyle name="Normal 5 2 2 2 26 6" xfId="34151"/>
    <cellStyle name="Normal 5 2 2 2 26 7" xfId="38882"/>
    <cellStyle name="Normal 5 2 2 2 27" xfId="5456"/>
    <cellStyle name="Normal 5 2 2 2 27 2" xfId="7199"/>
    <cellStyle name="Normal 5 2 2 2 27 3" xfId="19355"/>
    <cellStyle name="Normal 5 2 2 2 27 4" xfId="24398"/>
    <cellStyle name="Normal 5 2 2 2 27 5" xfId="29359"/>
    <cellStyle name="Normal 5 2 2 2 27 6" xfId="34217"/>
    <cellStyle name="Normal 5 2 2 2 27 7" xfId="38948"/>
    <cellStyle name="Normal 5 2 2 2 28" xfId="5267"/>
    <cellStyle name="Normal 5 2 2 2 28 2" xfId="7205"/>
    <cellStyle name="Normal 5 2 2 2 28 3" xfId="19361"/>
    <cellStyle name="Normal 5 2 2 2 28 4" xfId="24404"/>
    <cellStyle name="Normal 5 2 2 2 28 5" xfId="29365"/>
    <cellStyle name="Normal 5 2 2 2 28 6" xfId="34223"/>
    <cellStyle name="Normal 5 2 2 2 28 7" xfId="38954"/>
    <cellStyle name="Normal 5 2 2 2 29" xfId="5782"/>
    <cellStyle name="Normal 5 2 2 2 29 2" xfId="14339"/>
    <cellStyle name="Normal 5 2 2 2 29 3" xfId="19241"/>
    <cellStyle name="Normal 5 2 2 2 29 4" xfId="24284"/>
    <cellStyle name="Normal 5 2 2 2 29 5" xfId="29245"/>
    <cellStyle name="Normal 5 2 2 2 29 6" xfId="34103"/>
    <cellStyle name="Normal 5 2 2 2 29 7" xfId="38834"/>
    <cellStyle name="Normal 5 2 2 2 3" xfId="4296"/>
    <cellStyle name="Normal 5 2 2 2 3 2" xfId="6209"/>
    <cellStyle name="Normal 5 2 2 2 3 3" xfId="18313"/>
    <cellStyle name="Normal 5 2 2 2 3 4" xfId="23356"/>
    <cellStyle name="Normal 5 2 2 2 3 5" xfId="28317"/>
    <cellStyle name="Normal 5 2 2 2 3 6" xfId="33175"/>
    <cellStyle name="Normal 5 2 2 2 3 7" xfId="37906"/>
    <cellStyle name="Normal 5 2 2 2 30" xfId="6968"/>
    <cellStyle name="Normal 5 2 2 2 30 2" xfId="14269"/>
    <cellStyle name="Normal 5 2 2 2 30 3" xfId="19100"/>
    <cellStyle name="Normal 5 2 2 2 30 4" xfId="24143"/>
    <cellStyle name="Normal 5 2 2 2 30 5" xfId="29104"/>
    <cellStyle name="Normal 5 2 2 2 30 6" xfId="33962"/>
    <cellStyle name="Normal 5 2 2 2 30 7" xfId="38693"/>
    <cellStyle name="Normal 5 2 2 2 31" xfId="6895"/>
    <cellStyle name="Normal 5 2 2 2 31 2" xfId="14230"/>
    <cellStyle name="Normal 5 2 2 2 31 3" xfId="19019"/>
    <cellStyle name="Normal 5 2 2 2 31 4" xfId="24062"/>
    <cellStyle name="Normal 5 2 2 2 31 5" xfId="29023"/>
    <cellStyle name="Normal 5 2 2 2 31 6" xfId="33881"/>
    <cellStyle name="Normal 5 2 2 2 31 7" xfId="38612"/>
    <cellStyle name="Normal 5 2 2 2 32" xfId="6950"/>
    <cellStyle name="Normal 5 2 2 2 32 2" xfId="14260"/>
    <cellStyle name="Normal 5 2 2 2 32 3" xfId="19081"/>
    <cellStyle name="Normal 5 2 2 2 32 4" xfId="24124"/>
    <cellStyle name="Normal 5 2 2 2 32 5" xfId="29085"/>
    <cellStyle name="Normal 5 2 2 2 32 6" xfId="33943"/>
    <cellStyle name="Normal 5 2 2 2 32 7" xfId="38674"/>
    <cellStyle name="Normal 5 2 2 2 33" xfId="6942"/>
    <cellStyle name="Normal 5 2 2 2 33 2" xfId="14255"/>
    <cellStyle name="Normal 5 2 2 2 33 3" xfId="19071"/>
    <cellStyle name="Normal 5 2 2 2 33 4" xfId="24114"/>
    <cellStyle name="Normal 5 2 2 2 33 5" xfId="29075"/>
    <cellStyle name="Normal 5 2 2 2 33 6" xfId="33933"/>
    <cellStyle name="Normal 5 2 2 2 33 7" xfId="38664"/>
    <cellStyle name="Normal 5 2 2 2 34" xfId="6885"/>
    <cellStyle name="Normal 5 2 2 2 34 2" xfId="14220"/>
    <cellStyle name="Normal 5 2 2 2 34 3" xfId="19007"/>
    <cellStyle name="Normal 5 2 2 2 34 4" xfId="24050"/>
    <cellStyle name="Normal 5 2 2 2 34 5" xfId="29011"/>
    <cellStyle name="Normal 5 2 2 2 34 6" xfId="33869"/>
    <cellStyle name="Normal 5 2 2 2 34 7" xfId="38600"/>
    <cellStyle name="Normal 5 2 2 2 35" xfId="7836"/>
    <cellStyle name="Normal 5 2 2 2 35 2" xfId="14916"/>
    <cellStyle name="Normal 5 2 2 2 35 3" xfId="20033"/>
    <cellStyle name="Normal 5 2 2 2 35 4" xfId="25076"/>
    <cellStyle name="Normal 5 2 2 2 35 5" xfId="30037"/>
    <cellStyle name="Normal 5 2 2 2 35 6" xfId="34895"/>
    <cellStyle name="Normal 5 2 2 2 35 7" xfId="39626"/>
    <cellStyle name="Normal 5 2 2 2 36" xfId="7877"/>
    <cellStyle name="Normal 5 2 2 2 36 2" xfId="14957"/>
    <cellStyle name="Normal 5 2 2 2 36 3" xfId="20074"/>
    <cellStyle name="Normal 5 2 2 2 36 4" xfId="25117"/>
    <cellStyle name="Normal 5 2 2 2 36 5" xfId="30078"/>
    <cellStyle name="Normal 5 2 2 2 36 6" xfId="34936"/>
    <cellStyle name="Normal 5 2 2 2 36 7" xfId="39667"/>
    <cellStyle name="Normal 5 2 2 2 37" xfId="7598"/>
    <cellStyle name="Normal 5 2 2 2 37 2" xfId="14678"/>
    <cellStyle name="Normal 5 2 2 2 37 3" xfId="19795"/>
    <cellStyle name="Normal 5 2 2 2 37 4" xfId="24838"/>
    <cellStyle name="Normal 5 2 2 2 37 5" xfId="29799"/>
    <cellStyle name="Normal 5 2 2 2 37 6" xfId="34657"/>
    <cellStyle name="Normal 5 2 2 2 37 7" xfId="39388"/>
    <cellStyle name="Normal 5 2 2 2 38" xfId="7791"/>
    <cellStyle name="Normal 5 2 2 2 38 2" xfId="14871"/>
    <cellStyle name="Normal 5 2 2 2 38 3" xfId="19988"/>
    <cellStyle name="Normal 5 2 2 2 38 4" xfId="25031"/>
    <cellStyle name="Normal 5 2 2 2 38 5" xfId="29992"/>
    <cellStyle name="Normal 5 2 2 2 38 6" xfId="34850"/>
    <cellStyle name="Normal 5 2 2 2 38 7" xfId="39581"/>
    <cellStyle name="Normal 5 2 2 2 39" xfId="7863"/>
    <cellStyle name="Normal 5 2 2 2 39 2" xfId="14943"/>
    <cellStyle name="Normal 5 2 2 2 39 3" xfId="20060"/>
    <cellStyle name="Normal 5 2 2 2 39 4" xfId="25103"/>
    <cellStyle name="Normal 5 2 2 2 39 5" xfId="30064"/>
    <cellStyle name="Normal 5 2 2 2 39 6" xfId="34922"/>
    <cellStyle name="Normal 5 2 2 2 39 7" xfId="39653"/>
    <cellStyle name="Normal 5 2 2 2 4" xfId="4257"/>
    <cellStyle name="Normal 5 2 2 2 4 2" xfId="6254"/>
    <cellStyle name="Normal 5 2 2 2 4 3" xfId="18358"/>
    <cellStyle name="Normal 5 2 2 2 4 4" xfId="23401"/>
    <cellStyle name="Normal 5 2 2 2 4 5" xfId="28362"/>
    <cellStyle name="Normal 5 2 2 2 4 6" xfId="33220"/>
    <cellStyle name="Normal 5 2 2 2 4 7" xfId="37951"/>
    <cellStyle name="Normal 5 2 2 2 40" xfId="7869"/>
    <cellStyle name="Normal 5 2 2 2 40 2" xfId="14949"/>
    <cellStyle name="Normal 5 2 2 2 40 3" xfId="20066"/>
    <cellStyle name="Normal 5 2 2 2 40 4" xfId="25109"/>
    <cellStyle name="Normal 5 2 2 2 40 5" xfId="30070"/>
    <cellStyle name="Normal 5 2 2 2 40 6" xfId="34928"/>
    <cellStyle name="Normal 5 2 2 2 40 7" xfId="39659"/>
    <cellStyle name="Normal 5 2 2 2 41" xfId="7738"/>
    <cellStyle name="Normal 5 2 2 2 41 2" xfId="14818"/>
    <cellStyle name="Normal 5 2 2 2 41 3" xfId="19935"/>
    <cellStyle name="Normal 5 2 2 2 41 4" xfId="24978"/>
    <cellStyle name="Normal 5 2 2 2 41 5" xfId="29939"/>
    <cellStyle name="Normal 5 2 2 2 41 6" xfId="34797"/>
    <cellStyle name="Normal 5 2 2 2 41 7" xfId="39528"/>
    <cellStyle name="Normal 5 2 2 2 42" xfId="7575"/>
    <cellStyle name="Normal 5 2 2 2 42 2" xfId="14655"/>
    <cellStyle name="Normal 5 2 2 2 42 3" xfId="19772"/>
    <cellStyle name="Normal 5 2 2 2 42 4" xfId="24815"/>
    <cellStyle name="Normal 5 2 2 2 42 5" xfId="29776"/>
    <cellStyle name="Normal 5 2 2 2 42 6" xfId="34634"/>
    <cellStyle name="Normal 5 2 2 2 42 7" xfId="39365"/>
    <cellStyle name="Normal 5 2 2 2 43" xfId="7487"/>
    <cellStyle name="Normal 5 2 2 2 43 2" xfId="14563"/>
    <cellStyle name="Normal 5 2 2 2 43 3" xfId="19680"/>
    <cellStyle name="Normal 5 2 2 2 43 4" xfId="24723"/>
    <cellStyle name="Normal 5 2 2 2 43 5" xfId="29684"/>
    <cellStyle name="Normal 5 2 2 2 43 6" xfId="34542"/>
    <cellStyle name="Normal 5 2 2 2 43 7" xfId="39273"/>
    <cellStyle name="Normal 5 2 2 2 44" xfId="7556"/>
    <cellStyle name="Normal 5 2 2 2 44 2" xfId="14635"/>
    <cellStyle name="Normal 5 2 2 2 44 3" xfId="19752"/>
    <cellStyle name="Normal 5 2 2 2 44 4" xfId="24795"/>
    <cellStyle name="Normal 5 2 2 2 44 5" xfId="29756"/>
    <cellStyle name="Normal 5 2 2 2 44 6" xfId="34614"/>
    <cellStyle name="Normal 5 2 2 2 44 7" xfId="39345"/>
    <cellStyle name="Normal 5 2 2 2 45" xfId="7545"/>
    <cellStyle name="Normal 5 2 2 2 45 2" xfId="14623"/>
    <cellStyle name="Normal 5 2 2 2 45 3" xfId="19740"/>
    <cellStyle name="Normal 5 2 2 2 45 4" xfId="24783"/>
    <cellStyle name="Normal 5 2 2 2 45 5" xfId="29744"/>
    <cellStyle name="Normal 5 2 2 2 45 6" xfId="34602"/>
    <cellStyle name="Normal 5 2 2 2 45 7" xfId="39333"/>
    <cellStyle name="Normal 5 2 2 2 46" xfId="7475"/>
    <cellStyle name="Normal 5 2 2 2 46 2" xfId="14550"/>
    <cellStyle name="Normal 5 2 2 2 46 3" xfId="19667"/>
    <cellStyle name="Normal 5 2 2 2 46 4" xfId="24710"/>
    <cellStyle name="Normal 5 2 2 2 46 5" xfId="29671"/>
    <cellStyle name="Normal 5 2 2 2 46 6" xfId="34529"/>
    <cellStyle name="Normal 5 2 2 2 46 7" xfId="39260"/>
    <cellStyle name="Normal 5 2 2 2 47" xfId="7700"/>
    <cellStyle name="Normal 5 2 2 2 47 2" xfId="14780"/>
    <cellStyle name="Normal 5 2 2 2 47 3" xfId="19897"/>
    <cellStyle name="Normal 5 2 2 2 47 4" xfId="24940"/>
    <cellStyle name="Normal 5 2 2 2 47 5" xfId="29901"/>
    <cellStyle name="Normal 5 2 2 2 47 6" xfId="34759"/>
    <cellStyle name="Normal 5 2 2 2 47 7" xfId="39490"/>
    <cellStyle name="Normal 5 2 2 2 48" xfId="7525"/>
    <cellStyle name="Normal 5 2 2 2 48 2" xfId="14603"/>
    <cellStyle name="Normal 5 2 2 2 48 3" xfId="19720"/>
    <cellStyle name="Normal 5 2 2 2 48 4" xfId="24763"/>
    <cellStyle name="Normal 5 2 2 2 48 5" xfId="29724"/>
    <cellStyle name="Normal 5 2 2 2 48 6" xfId="34582"/>
    <cellStyle name="Normal 5 2 2 2 48 7" xfId="39313"/>
    <cellStyle name="Normal 5 2 2 2 49" xfId="8631"/>
    <cellStyle name="Normal 5 2 2 2 49 2" xfId="15712"/>
    <cellStyle name="Normal 5 2 2 2 49 3" xfId="20829"/>
    <cellStyle name="Normal 5 2 2 2 49 4" xfId="25872"/>
    <cellStyle name="Normal 5 2 2 2 49 5" xfId="30833"/>
    <cellStyle name="Normal 5 2 2 2 49 6" xfId="35691"/>
    <cellStyle name="Normal 5 2 2 2 49 7" xfId="40422"/>
    <cellStyle name="Normal 5 2 2 2 5" xfId="4341"/>
    <cellStyle name="Normal 5 2 2 2 5 2" xfId="5943"/>
    <cellStyle name="Normal 5 2 2 2 5 3" xfId="18045"/>
    <cellStyle name="Normal 5 2 2 2 5 4" xfId="23088"/>
    <cellStyle name="Normal 5 2 2 2 5 5" xfId="28049"/>
    <cellStyle name="Normal 5 2 2 2 5 6" xfId="32907"/>
    <cellStyle name="Normal 5 2 2 2 5 7" xfId="37638"/>
    <cellStyle name="Normal 5 2 2 2 50" xfId="8677"/>
    <cellStyle name="Normal 5 2 2 2 50 2" xfId="15758"/>
    <cellStyle name="Normal 5 2 2 2 50 3" xfId="20875"/>
    <cellStyle name="Normal 5 2 2 2 50 4" xfId="25918"/>
    <cellStyle name="Normal 5 2 2 2 50 5" xfId="30879"/>
    <cellStyle name="Normal 5 2 2 2 50 6" xfId="35737"/>
    <cellStyle name="Normal 5 2 2 2 50 7" xfId="40468"/>
    <cellStyle name="Normal 5 2 2 2 51" xfId="8382"/>
    <cellStyle name="Normal 5 2 2 2 51 2" xfId="15463"/>
    <cellStyle name="Normal 5 2 2 2 51 3" xfId="20580"/>
    <cellStyle name="Normal 5 2 2 2 51 4" xfId="25623"/>
    <cellStyle name="Normal 5 2 2 2 51 5" xfId="30584"/>
    <cellStyle name="Normal 5 2 2 2 51 6" xfId="35442"/>
    <cellStyle name="Normal 5 2 2 2 51 7" xfId="40173"/>
    <cellStyle name="Normal 5 2 2 2 52" xfId="8573"/>
    <cellStyle name="Normal 5 2 2 2 52 2" xfId="15654"/>
    <cellStyle name="Normal 5 2 2 2 52 3" xfId="20771"/>
    <cellStyle name="Normal 5 2 2 2 52 4" xfId="25814"/>
    <cellStyle name="Normal 5 2 2 2 52 5" xfId="30775"/>
    <cellStyle name="Normal 5 2 2 2 52 6" xfId="35633"/>
    <cellStyle name="Normal 5 2 2 2 52 7" xfId="40364"/>
    <cellStyle name="Normal 5 2 2 2 53" xfId="8661"/>
    <cellStyle name="Normal 5 2 2 2 53 2" xfId="15742"/>
    <cellStyle name="Normal 5 2 2 2 53 3" xfId="20859"/>
    <cellStyle name="Normal 5 2 2 2 53 4" xfId="25902"/>
    <cellStyle name="Normal 5 2 2 2 53 5" xfId="30863"/>
    <cellStyle name="Normal 5 2 2 2 53 6" xfId="35721"/>
    <cellStyle name="Normal 5 2 2 2 53 7" xfId="40452"/>
    <cellStyle name="Normal 5 2 2 2 54" xfId="8670"/>
    <cellStyle name="Normal 5 2 2 2 54 2" xfId="15751"/>
    <cellStyle name="Normal 5 2 2 2 54 3" xfId="20868"/>
    <cellStyle name="Normal 5 2 2 2 54 4" xfId="25911"/>
    <cellStyle name="Normal 5 2 2 2 54 5" xfId="30872"/>
    <cellStyle name="Normal 5 2 2 2 54 6" xfId="35730"/>
    <cellStyle name="Normal 5 2 2 2 54 7" xfId="40461"/>
    <cellStyle name="Normal 5 2 2 2 55" xfId="8523"/>
    <cellStyle name="Normal 5 2 2 2 55 2" xfId="15604"/>
    <cellStyle name="Normal 5 2 2 2 55 3" xfId="20721"/>
    <cellStyle name="Normal 5 2 2 2 55 4" xfId="25764"/>
    <cellStyle name="Normal 5 2 2 2 55 5" xfId="30725"/>
    <cellStyle name="Normal 5 2 2 2 55 6" xfId="35583"/>
    <cellStyle name="Normal 5 2 2 2 55 7" xfId="40314"/>
    <cellStyle name="Normal 5 2 2 2 56" xfId="8538"/>
    <cellStyle name="Normal 5 2 2 2 56 2" xfId="15619"/>
    <cellStyle name="Normal 5 2 2 2 56 3" xfId="20736"/>
    <cellStyle name="Normal 5 2 2 2 56 4" xfId="25779"/>
    <cellStyle name="Normal 5 2 2 2 56 5" xfId="30740"/>
    <cellStyle name="Normal 5 2 2 2 56 6" xfId="35598"/>
    <cellStyle name="Normal 5 2 2 2 56 7" xfId="40329"/>
    <cellStyle name="Normal 5 2 2 2 57" xfId="8317"/>
    <cellStyle name="Normal 5 2 2 2 57 2" xfId="15398"/>
    <cellStyle name="Normal 5 2 2 2 57 3" xfId="20515"/>
    <cellStyle name="Normal 5 2 2 2 57 4" xfId="25558"/>
    <cellStyle name="Normal 5 2 2 2 57 5" xfId="30519"/>
    <cellStyle name="Normal 5 2 2 2 57 6" xfId="35377"/>
    <cellStyle name="Normal 5 2 2 2 57 7" xfId="40108"/>
    <cellStyle name="Normal 5 2 2 2 58" xfId="8739"/>
    <cellStyle name="Normal 5 2 2 2 58 2" xfId="15820"/>
    <cellStyle name="Normal 5 2 2 2 58 3" xfId="20937"/>
    <cellStyle name="Normal 5 2 2 2 58 4" xfId="25980"/>
    <cellStyle name="Normal 5 2 2 2 58 5" xfId="30941"/>
    <cellStyle name="Normal 5 2 2 2 58 6" xfId="35799"/>
    <cellStyle name="Normal 5 2 2 2 58 7" xfId="40530"/>
    <cellStyle name="Normal 5 2 2 2 59" xfId="8598"/>
    <cellStyle name="Normal 5 2 2 2 59 2" xfId="15679"/>
    <cellStyle name="Normal 5 2 2 2 59 3" xfId="20796"/>
    <cellStyle name="Normal 5 2 2 2 59 4" xfId="25839"/>
    <cellStyle name="Normal 5 2 2 2 59 5" xfId="30800"/>
    <cellStyle name="Normal 5 2 2 2 59 6" xfId="35658"/>
    <cellStyle name="Normal 5 2 2 2 59 7" xfId="40389"/>
    <cellStyle name="Normal 5 2 2 2 6" xfId="4414"/>
    <cellStyle name="Normal 5 2 2 2 6 2" xfId="6160"/>
    <cellStyle name="Normal 5 2 2 2 6 3" xfId="18264"/>
    <cellStyle name="Normal 5 2 2 2 6 4" xfId="23307"/>
    <cellStyle name="Normal 5 2 2 2 6 5" xfId="28268"/>
    <cellStyle name="Normal 5 2 2 2 6 6" xfId="33126"/>
    <cellStyle name="Normal 5 2 2 2 6 7" xfId="37857"/>
    <cellStyle name="Normal 5 2 2 2 60" xfId="8404"/>
    <cellStyle name="Normal 5 2 2 2 60 2" xfId="15485"/>
    <cellStyle name="Normal 5 2 2 2 60 3" xfId="20602"/>
    <cellStyle name="Normal 5 2 2 2 60 4" xfId="25645"/>
    <cellStyle name="Normal 5 2 2 2 60 5" xfId="30606"/>
    <cellStyle name="Normal 5 2 2 2 60 6" xfId="35464"/>
    <cellStyle name="Normal 5 2 2 2 60 7" xfId="40195"/>
    <cellStyle name="Normal 5 2 2 2 61" xfId="8864"/>
    <cellStyle name="Normal 5 2 2 2 61 2" xfId="15945"/>
    <cellStyle name="Normal 5 2 2 2 61 3" xfId="21062"/>
    <cellStyle name="Normal 5 2 2 2 61 4" xfId="26105"/>
    <cellStyle name="Normal 5 2 2 2 61 5" xfId="31066"/>
    <cellStyle name="Normal 5 2 2 2 61 6" xfId="35924"/>
    <cellStyle name="Normal 5 2 2 2 61 7" xfId="40655"/>
    <cellStyle name="Normal 5 2 2 2 62" xfId="8752"/>
    <cellStyle name="Normal 5 2 2 2 62 2" xfId="15833"/>
    <cellStyle name="Normal 5 2 2 2 62 3" xfId="20950"/>
    <cellStyle name="Normal 5 2 2 2 62 4" xfId="25993"/>
    <cellStyle name="Normal 5 2 2 2 62 5" xfId="30954"/>
    <cellStyle name="Normal 5 2 2 2 62 6" xfId="35812"/>
    <cellStyle name="Normal 5 2 2 2 62 7" xfId="40543"/>
    <cellStyle name="Normal 5 2 2 2 63" xfId="8766"/>
    <cellStyle name="Normal 5 2 2 2 63 2" xfId="15847"/>
    <cellStyle name="Normal 5 2 2 2 63 3" xfId="20964"/>
    <cellStyle name="Normal 5 2 2 2 63 4" xfId="26007"/>
    <cellStyle name="Normal 5 2 2 2 63 5" xfId="30968"/>
    <cellStyle name="Normal 5 2 2 2 63 6" xfId="35826"/>
    <cellStyle name="Normal 5 2 2 2 63 7" xfId="40557"/>
    <cellStyle name="Normal 5 2 2 2 64" xfId="9390"/>
    <cellStyle name="Normal 5 2 2 2 64 2" xfId="16471"/>
    <cellStyle name="Normal 5 2 2 2 64 3" xfId="21588"/>
    <cellStyle name="Normal 5 2 2 2 64 4" xfId="26631"/>
    <cellStyle name="Normal 5 2 2 2 64 5" xfId="31592"/>
    <cellStyle name="Normal 5 2 2 2 64 6" xfId="36450"/>
    <cellStyle name="Normal 5 2 2 2 64 7" xfId="41181"/>
    <cellStyle name="Normal 5 2 2 2 65" xfId="9427"/>
    <cellStyle name="Normal 5 2 2 2 65 2" xfId="16508"/>
    <cellStyle name="Normal 5 2 2 2 65 3" xfId="21625"/>
    <cellStyle name="Normal 5 2 2 2 65 4" xfId="26668"/>
    <cellStyle name="Normal 5 2 2 2 65 5" xfId="31629"/>
    <cellStyle name="Normal 5 2 2 2 65 6" xfId="36487"/>
    <cellStyle name="Normal 5 2 2 2 65 7" xfId="41218"/>
    <cellStyle name="Normal 5 2 2 2 66" xfId="9178"/>
    <cellStyle name="Normal 5 2 2 2 66 2" xfId="16259"/>
    <cellStyle name="Normal 5 2 2 2 66 3" xfId="21376"/>
    <cellStyle name="Normal 5 2 2 2 66 4" xfId="26419"/>
    <cellStyle name="Normal 5 2 2 2 66 5" xfId="31380"/>
    <cellStyle name="Normal 5 2 2 2 66 6" xfId="36238"/>
    <cellStyle name="Normal 5 2 2 2 66 7" xfId="40969"/>
    <cellStyle name="Normal 5 2 2 2 67" xfId="9349"/>
    <cellStyle name="Normal 5 2 2 2 67 2" xfId="16430"/>
    <cellStyle name="Normal 5 2 2 2 67 3" xfId="21547"/>
    <cellStyle name="Normal 5 2 2 2 67 4" xfId="26590"/>
    <cellStyle name="Normal 5 2 2 2 67 5" xfId="31551"/>
    <cellStyle name="Normal 5 2 2 2 67 6" xfId="36409"/>
    <cellStyle name="Normal 5 2 2 2 67 7" xfId="41140"/>
    <cellStyle name="Normal 5 2 2 2 68" xfId="9415"/>
    <cellStyle name="Normal 5 2 2 2 68 2" xfId="16496"/>
    <cellStyle name="Normal 5 2 2 2 68 3" xfId="21613"/>
    <cellStyle name="Normal 5 2 2 2 68 4" xfId="26656"/>
    <cellStyle name="Normal 5 2 2 2 68 5" xfId="31617"/>
    <cellStyle name="Normal 5 2 2 2 68 6" xfId="36475"/>
    <cellStyle name="Normal 5 2 2 2 68 7" xfId="41206"/>
    <cellStyle name="Normal 5 2 2 2 69" xfId="9421"/>
    <cellStyle name="Normal 5 2 2 2 69 2" xfId="16502"/>
    <cellStyle name="Normal 5 2 2 2 69 3" xfId="21619"/>
    <cellStyle name="Normal 5 2 2 2 69 4" xfId="26662"/>
    <cellStyle name="Normal 5 2 2 2 69 5" xfId="31623"/>
    <cellStyle name="Normal 5 2 2 2 69 6" xfId="36481"/>
    <cellStyle name="Normal 5 2 2 2 69 7" xfId="41212"/>
    <cellStyle name="Normal 5 2 2 2 7" xfId="4470"/>
    <cellStyle name="Normal 5 2 2 2 7 2" xfId="6238"/>
    <cellStyle name="Normal 5 2 2 2 7 3" xfId="18342"/>
    <cellStyle name="Normal 5 2 2 2 7 4" xfId="23385"/>
    <cellStyle name="Normal 5 2 2 2 7 5" xfId="28346"/>
    <cellStyle name="Normal 5 2 2 2 7 6" xfId="33204"/>
    <cellStyle name="Normal 5 2 2 2 7 7" xfId="37935"/>
    <cellStyle name="Normal 5 2 2 2 70" xfId="9301"/>
    <cellStyle name="Normal 5 2 2 2 70 2" xfId="16382"/>
    <cellStyle name="Normal 5 2 2 2 70 3" xfId="21499"/>
    <cellStyle name="Normal 5 2 2 2 70 4" xfId="26542"/>
    <cellStyle name="Normal 5 2 2 2 70 5" xfId="31503"/>
    <cellStyle name="Normal 5 2 2 2 70 6" xfId="36361"/>
    <cellStyle name="Normal 5 2 2 2 70 7" xfId="41092"/>
    <cellStyle name="Normal 5 2 2 2 71" xfId="9160"/>
    <cellStyle name="Normal 5 2 2 2 71 2" xfId="16241"/>
    <cellStyle name="Normal 5 2 2 2 71 3" xfId="21358"/>
    <cellStyle name="Normal 5 2 2 2 71 4" xfId="26401"/>
    <cellStyle name="Normal 5 2 2 2 71 5" xfId="31362"/>
    <cellStyle name="Normal 5 2 2 2 71 6" xfId="36220"/>
    <cellStyle name="Normal 5 2 2 2 71 7" xfId="40951"/>
    <cellStyle name="Normal 5 2 2 2 72" xfId="9079"/>
    <cellStyle name="Normal 5 2 2 2 72 2" xfId="16160"/>
    <cellStyle name="Normal 5 2 2 2 72 3" xfId="21277"/>
    <cellStyle name="Normal 5 2 2 2 72 4" xfId="26320"/>
    <cellStyle name="Normal 5 2 2 2 72 5" xfId="31281"/>
    <cellStyle name="Normal 5 2 2 2 72 6" xfId="36139"/>
    <cellStyle name="Normal 5 2 2 2 72 7" xfId="40870"/>
    <cellStyle name="Normal 5 2 2 2 73" xfId="9141"/>
    <cellStyle name="Normal 5 2 2 2 73 2" xfId="16222"/>
    <cellStyle name="Normal 5 2 2 2 73 3" xfId="21339"/>
    <cellStyle name="Normal 5 2 2 2 73 4" xfId="26382"/>
    <cellStyle name="Normal 5 2 2 2 73 5" xfId="31343"/>
    <cellStyle name="Normal 5 2 2 2 73 6" xfId="36201"/>
    <cellStyle name="Normal 5 2 2 2 73 7" xfId="40932"/>
    <cellStyle name="Normal 5 2 2 2 74" xfId="9131"/>
    <cellStyle name="Normal 5 2 2 2 74 2" xfId="16212"/>
    <cellStyle name="Normal 5 2 2 2 74 3" xfId="21329"/>
    <cellStyle name="Normal 5 2 2 2 74 4" xfId="26372"/>
    <cellStyle name="Normal 5 2 2 2 74 5" xfId="31333"/>
    <cellStyle name="Normal 5 2 2 2 74 6" xfId="36191"/>
    <cellStyle name="Normal 5 2 2 2 74 7" xfId="40922"/>
    <cellStyle name="Normal 5 2 2 2 75" xfId="9067"/>
    <cellStyle name="Normal 5 2 2 2 75 2" xfId="16148"/>
    <cellStyle name="Normal 5 2 2 2 75 3" xfId="21265"/>
    <cellStyle name="Normal 5 2 2 2 75 4" xfId="26308"/>
    <cellStyle name="Normal 5 2 2 2 75 5" xfId="31269"/>
    <cellStyle name="Normal 5 2 2 2 75 6" xfId="36127"/>
    <cellStyle name="Normal 5 2 2 2 75 7" xfId="40858"/>
    <cellStyle name="Normal 5 2 2 2 76" xfId="9886"/>
    <cellStyle name="Normal 5 2 2 2 76 2" xfId="16967"/>
    <cellStyle name="Normal 5 2 2 2 76 3" xfId="22084"/>
    <cellStyle name="Normal 5 2 2 2 76 4" xfId="27127"/>
    <cellStyle name="Normal 5 2 2 2 76 5" xfId="32088"/>
    <cellStyle name="Normal 5 2 2 2 76 6" xfId="36946"/>
    <cellStyle name="Normal 5 2 2 2 76 7" xfId="41677"/>
    <cellStyle name="Normal 5 2 2 2 77" xfId="9912"/>
    <cellStyle name="Normal 5 2 2 2 77 2" xfId="16993"/>
    <cellStyle name="Normal 5 2 2 2 77 3" xfId="22110"/>
    <cellStyle name="Normal 5 2 2 2 77 4" xfId="27153"/>
    <cellStyle name="Normal 5 2 2 2 77 5" xfId="32114"/>
    <cellStyle name="Normal 5 2 2 2 77 6" xfId="36972"/>
    <cellStyle name="Normal 5 2 2 2 77 7" xfId="41703"/>
    <cellStyle name="Normal 5 2 2 2 78" xfId="9777"/>
    <cellStyle name="Normal 5 2 2 2 78 2" xfId="16858"/>
    <cellStyle name="Normal 5 2 2 2 78 3" xfId="21975"/>
    <cellStyle name="Normal 5 2 2 2 78 4" xfId="27018"/>
    <cellStyle name="Normal 5 2 2 2 78 5" xfId="31979"/>
    <cellStyle name="Normal 5 2 2 2 78 6" xfId="36837"/>
    <cellStyle name="Normal 5 2 2 2 78 7" xfId="41568"/>
    <cellStyle name="Normal 5 2 2 2 79" xfId="9860"/>
    <cellStyle name="Normal 5 2 2 2 79 2" xfId="16941"/>
    <cellStyle name="Normal 5 2 2 2 79 3" xfId="22058"/>
    <cellStyle name="Normal 5 2 2 2 79 4" xfId="27101"/>
    <cellStyle name="Normal 5 2 2 2 79 5" xfId="32062"/>
    <cellStyle name="Normal 5 2 2 2 79 6" xfId="36920"/>
    <cellStyle name="Normal 5 2 2 2 79 7" xfId="41651"/>
    <cellStyle name="Normal 5 2 2 2 8" xfId="4578"/>
    <cellStyle name="Normal 5 2 2 2 8 2" xfId="6247"/>
    <cellStyle name="Normal 5 2 2 2 8 3" xfId="18351"/>
    <cellStyle name="Normal 5 2 2 2 8 4" xfId="23394"/>
    <cellStyle name="Normal 5 2 2 2 8 5" xfId="28355"/>
    <cellStyle name="Normal 5 2 2 2 8 6" xfId="33213"/>
    <cellStyle name="Normal 5 2 2 2 8 7" xfId="37944"/>
    <cellStyle name="Normal 5 2 2 2 80" xfId="9904"/>
    <cellStyle name="Normal 5 2 2 2 80 2" xfId="16985"/>
    <cellStyle name="Normal 5 2 2 2 80 3" xfId="22102"/>
    <cellStyle name="Normal 5 2 2 2 80 4" xfId="27145"/>
    <cellStyle name="Normal 5 2 2 2 80 5" xfId="32106"/>
    <cellStyle name="Normal 5 2 2 2 80 6" xfId="36964"/>
    <cellStyle name="Normal 5 2 2 2 80 7" xfId="41695"/>
    <cellStyle name="Normal 5 2 2 2 81" xfId="9908"/>
    <cellStyle name="Normal 5 2 2 2 81 2" xfId="16989"/>
    <cellStyle name="Normal 5 2 2 2 81 3" xfId="22106"/>
    <cellStyle name="Normal 5 2 2 2 81 4" xfId="27149"/>
    <cellStyle name="Normal 5 2 2 2 81 5" xfId="32110"/>
    <cellStyle name="Normal 5 2 2 2 81 6" xfId="36968"/>
    <cellStyle name="Normal 5 2 2 2 81 7" xfId="41699"/>
    <cellStyle name="Normal 5 2 2 2 82" xfId="10216"/>
    <cellStyle name="Normal 5 2 2 2 82 2" xfId="17297"/>
    <cellStyle name="Normal 5 2 2 2 82 3" xfId="22414"/>
    <cellStyle name="Normal 5 2 2 2 82 4" xfId="27457"/>
    <cellStyle name="Normal 5 2 2 2 82 5" xfId="32418"/>
    <cellStyle name="Normal 5 2 2 2 82 6" xfId="37276"/>
    <cellStyle name="Normal 5 2 2 2 82 7" xfId="42007"/>
    <cellStyle name="Normal 5 2 2 2 83" xfId="10242"/>
    <cellStyle name="Normal 5 2 2 2 83 2" xfId="17323"/>
    <cellStyle name="Normal 5 2 2 2 83 3" xfId="22440"/>
    <cellStyle name="Normal 5 2 2 2 83 4" xfId="27483"/>
    <cellStyle name="Normal 5 2 2 2 83 5" xfId="32444"/>
    <cellStyle name="Normal 5 2 2 2 83 6" xfId="37302"/>
    <cellStyle name="Normal 5 2 2 2 83 7" xfId="42033"/>
    <cellStyle name="Normal 5 2 2 2 84" xfId="10107"/>
    <cellStyle name="Normal 5 2 2 2 84 2" xfId="17188"/>
    <cellStyle name="Normal 5 2 2 2 84 3" xfId="22305"/>
    <cellStyle name="Normal 5 2 2 2 84 4" xfId="27348"/>
    <cellStyle name="Normal 5 2 2 2 84 5" xfId="32309"/>
    <cellStyle name="Normal 5 2 2 2 84 6" xfId="37167"/>
    <cellStyle name="Normal 5 2 2 2 84 7" xfId="41898"/>
    <cellStyle name="Normal 5 2 2 2 85" xfId="10190"/>
    <cellStyle name="Normal 5 2 2 2 85 2" xfId="17271"/>
    <cellStyle name="Normal 5 2 2 2 85 3" xfId="22388"/>
    <cellStyle name="Normal 5 2 2 2 85 4" xfId="27431"/>
    <cellStyle name="Normal 5 2 2 2 85 5" xfId="32392"/>
    <cellStyle name="Normal 5 2 2 2 85 6" xfId="37250"/>
    <cellStyle name="Normal 5 2 2 2 85 7" xfId="41981"/>
    <cellStyle name="Normal 5 2 2 2 86" xfId="10234"/>
    <cellStyle name="Normal 5 2 2 2 86 2" xfId="17315"/>
    <cellStyle name="Normal 5 2 2 2 86 3" xfId="22432"/>
    <cellStyle name="Normal 5 2 2 2 86 4" xfId="27475"/>
    <cellStyle name="Normal 5 2 2 2 86 5" xfId="32436"/>
    <cellStyle name="Normal 5 2 2 2 86 6" xfId="37294"/>
    <cellStyle name="Normal 5 2 2 2 86 7" xfId="42025"/>
    <cellStyle name="Normal 5 2 2 2 87" xfId="10238"/>
    <cellStyle name="Normal 5 2 2 2 87 2" xfId="17319"/>
    <cellStyle name="Normal 5 2 2 2 87 3" xfId="22436"/>
    <cellStyle name="Normal 5 2 2 2 87 4" xfId="27479"/>
    <cellStyle name="Normal 5 2 2 2 87 5" xfId="32440"/>
    <cellStyle name="Normal 5 2 2 2 87 6" xfId="37298"/>
    <cellStyle name="Normal 5 2 2 2 87 7" xfId="42029"/>
    <cellStyle name="Normal 5 2 2 2 88" xfId="13034"/>
    <cellStyle name="Normal 5 2 2 2 89" xfId="12667"/>
    <cellStyle name="Normal 5 2 2 2 9" xfId="4594"/>
    <cellStyle name="Normal 5 2 2 2 9 2" xfId="6098"/>
    <cellStyle name="Normal 5 2 2 2 9 3" xfId="18202"/>
    <cellStyle name="Normal 5 2 2 2 9 4" xfId="23245"/>
    <cellStyle name="Normal 5 2 2 2 9 5" xfId="28206"/>
    <cellStyle name="Normal 5 2 2 2 9 6" xfId="33064"/>
    <cellStyle name="Normal 5 2 2 2 9 7" xfId="37795"/>
    <cellStyle name="Normal 5 2 2 2 90" xfId="12610"/>
    <cellStyle name="Normal 5 2 2 2 91" xfId="13290"/>
    <cellStyle name="Normal 5 2 2 2 92" xfId="12571"/>
    <cellStyle name="Normal 5 2 2 2 93" xfId="13106"/>
    <cellStyle name="Normal 5 2 2 3" xfId="2519"/>
    <cellStyle name="Normal 5 2 2 3 2" xfId="13065"/>
    <cellStyle name="Normal 5 2 2 3 3" xfId="11705"/>
    <cellStyle name="Normal 5 2 2 3 4" xfId="13832"/>
    <cellStyle name="Normal 5 2 2 3 5" xfId="17572"/>
    <cellStyle name="Normal 5 2 2 3 6" xfId="22667"/>
    <cellStyle name="Normal 5 2 2 3 7" xfId="27688"/>
    <cellStyle name="Normal 5 2 2 4" xfId="12242"/>
    <cellStyle name="Normal 5 2 2 5" xfId="11642"/>
    <cellStyle name="Normal 5 2 2 6" xfId="13580"/>
    <cellStyle name="Normal 5 2 2 7" xfId="13605"/>
    <cellStyle name="Normal 5 2 2 8" xfId="14080"/>
    <cellStyle name="Normal 5 2 2 9" xfId="17794"/>
    <cellStyle name="Normal 5 2 20" xfId="5145"/>
    <cellStyle name="Normal 5 2 20 2" xfId="6711"/>
    <cellStyle name="Normal 5 2 20 3" xfId="18832"/>
    <cellStyle name="Normal 5 2 20 4" xfId="23875"/>
    <cellStyle name="Normal 5 2 20 5" xfId="28836"/>
    <cellStyle name="Normal 5 2 20 6" xfId="33694"/>
    <cellStyle name="Normal 5 2 20 7" xfId="38425"/>
    <cellStyle name="Normal 5 2 21" xfId="5312"/>
    <cellStyle name="Normal 5 2 21 2" xfId="6809"/>
    <cellStyle name="Normal 5 2 21 3" xfId="18930"/>
    <cellStyle name="Normal 5 2 21 4" xfId="23973"/>
    <cellStyle name="Normal 5 2 21 5" xfId="28934"/>
    <cellStyle name="Normal 5 2 21 6" xfId="33792"/>
    <cellStyle name="Normal 5 2 21 7" xfId="38523"/>
    <cellStyle name="Normal 5 2 22" xfId="5507"/>
    <cellStyle name="Normal 5 2 22 2" xfId="6804"/>
    <cellStyle name="Normal 5 2 22 3" xfId="18925"/>
    <cellStyle name="Normal 5 2 22 4" xfId="23968"/>
    <cellStyle name="Normal 5 2 22 5" xfId="28929"/>
    <cellStyle name="Normal 5 2 22 6" xfId="33787"/>
    <cellStyle name="Normal 5 2 22 7" xfId="38518"/>
    <cellStyle name="Normal 5 2 23" xfId="5492"/>
    <cellStyle name="Normal 5 2 23 2" xfId="6720"/>
    <cellStyle name="Normal 5 2 23 3" xfId="18841"/>
    <cellStyle name="Normal 5 2 23 4" xfId="23884"/>
    <cellStyle name="Normal 5 2 23 5" xfId="28845"/>
    <cellStyle name="Normal 5 2 23 6" xfId="33703"/>
    <cellStyle name="Normal 5 2 23 7" xfId="38434"/>
    <cellStyle name="Normal 5 2 24" xfId="5332"/>
    <cellStyle name="Normal 5 2 24 2" xfId="7025"/>
    <cellStyle name="Normal 5 2 24 3" xfId="19164"/>
    <cellStyle name="Normal 5 2 24 4" xfId="24207"/>
    <cellStyle name="Normal 5 2 24 5" xfId="29168"/>
    <cellStyle name="Normal 5 2 24 6" xfId="34026"/>
    <cellStyle name="Normal 5 2 24 7" xfId="38757"/>
    <cellStyle name="Normal 5 2 25" xfId="5562"/>
    <cellStyle name="Normal 5 2 25 2" xfId="7258"/>
    <cellStyle name="Normal 5 2 25 3" xfId="19422"/>
    <cellStyle name="Normal 5 2 25 4" xfId="24465"/>
    <cellStyle name="Normal 5 2 25 5" xfId="29426"/>
    <cellStyle name="Normal 5 2 25 6" xfId="34284"/>
    <cellStyle name="Normal 5 2 25 7" xfId="39015"/>
    <cellStyle name="Normal 5 2 26" xfId="5527"/>
    <cellStyle name="Normal 5 2 26 2" xfId="7248"/>
    <cellStyle name="Normal 5 2 26 3" xfId="19410"/>
    <cellStyle name="Normal 5 2 26 4" xfId="24453"/>
    <cellStyle name="Normal 5 2 26 5" xfId="29414"/>
    <cellStyle name="Normal 5 2 26 6" xfId="34272"/>
    <cellStyle name="Normal 5 2 26 7" xfId="39003"/>
    <cellStyle name="Normal 5 2 27" xfId="5381"/>
    <cellStyle name="Normal 5 2 27 2" xfId="7050"/>
    <cellStyle name="Normal 5 2 27 3" xfId="19194"/>
    <cellStyle name="Normal 5 2 27 4" xfId="24237"/>
    <cellStyle name="Normal 5 2 27 5" xfId="29198"/>
    <cellStyle name="Normal 5 2 27 6" xfId="34056"/>
    <cellStyle name="Normal 5 2 27 7" xfId="38787"/>
    <cellStyle name="Normal 5 2 28" xfId="5279"/>
    <cellStyle name="Normal 5 2 28 2" xfId="7316"/>
    <cellStyle name="Normal 5 2 28 3" xfId="19487"/>
    <cellStyle name="Normal 5 2 28 4" xfId="24530"/>
    <cellStyle name="Normal 5 2 28 5" xfId="29491"/>
    <cellStyle name="Normal 5 2 28 6" xfId="34349"/>
    <cellStyle name="Normal 5 2 28 7" xfId="39080"/>
    <cellStyle name="Normal 5 2 29" xfId="5558"/>
    <cellStyle name="Normal 5 2 29 2" xfId="7278"/>
    <cellStyle name="Normal 5 2 29 3" xfId="19445"/>
    <cellStyle name="Normal 5 2 29 4" xfId="24488"/>
    <cellStyle name="Normal 5 2 29 5" xfId="29449"/>
    <cellStyle name="Normal 5 2 29 6" xfId="34307"/>
    <cellStyle name="Normal 5 2 29 7" xfId="39038"/>
    <cellStyle name="Normal 5 2 3" xfId="1720"/>
    <cellStyle name="Normal 5 2 3 2" xfId="2515"/>
    <cellStyle name="Normal 5 2 3 2 10" xfId="4707"/>
    <cellStyle name="Normal 5 2 3 2 10 2" xfId="6293"/>
    <cellStyle name="Normal 5 2 3 2 10 3" xfId="18399"/>
    <cellStyle name="Normal 5 2 3 2 10 4" xfId="23442"/>
    <cellStyle name="Normal 5 2 3 2 10 5" xfId="28403"/>
    <cellStyle name="Normal 5 2 3 2 10 6" xfId="33261"/>
    <cellStyle name="Normal 5 2 3 2 10 7" xfId="37992"/>
    <cellStyle name="Normal 5 2 3 2 11" xfId="4864"/>
    <cellStyle name="Normal 5 2 3 2 11 2" xfId="6245"/>
    <cellStyle name="Normal 5 2 3 2 11 3" xfId="18349"/>
    <cellStyle name="Normal 5 2 3 2 11 4" xfId="23392"/>
    <cellStyle name="Normal 5 2 3 2 11 5" xfId="28353"/>
    <cellStyle name="Normal 5 2 3 2 11 6" xfId="33211"/>
    <cellStyle name="Normal 5 2 3 2 11 7" xfId="37942"/>
    <cellStyle name="Normal 5 2 3 2 12" xfId="4878"/>
    <cellStyle name="Normal 5 2 3 2 12 2" xfId="6409"/>
    <cellStyle name="Normal 5 2 3 2 12 3" xfId="18519"/>
    <cellStyle name="Normal 5 2 3 2 12 4" xfId="23562"/>
    <cellStyle name="Normal 5 2 3 2 12 5" xfId="28523"/>
    <cellStyle name="Normal 5 2 3 2 12 6" xfId="33381"/>
    <cellStyle name="Normal 5 2 3 2 12 7" xfId="38112"/>
    <cellStyle name="Normal 5 2 3 2 13" xfId="4914"/>
    <cellStyle name="Normal 5 2 3 2 13 2" xfId="6263"/>
    <cellStyle name="Normal 5 2 3 2 13 3" xfId="18367"/>
    <cellStyle name="Normal 5 2 3 2 13 4" xfId="23410"/>
    <cellStyle name="Normal 5 2 3 2 13 5" xfId="28371"/>
    <cellStyle name="Normal 5 2 3 2 13 6" xfId="33229"/>
    <cellStyle name="Normal 5 2 3 2 13 7" xfId="37960"/>
    <cellStyle name="Normal 5 2 3 2 14" xfId="4799"/>
    <cellStyle name="Normal 5 2 3 2 14 2" xfId="6458"/>
    <cellStyle name="Normal 5 2 3 2 14 3" xfId="18568"/>
    <cellStyle name="Normal 5 2 3 2 14 4" xfId="23611"/>
    <cellStyle name="Normal 5 2 3 2 14 5" xfId="28572"/>
    <cellStyle name="Normal 5 2 3 2 14 6" xfId="33430"/>
    <cellStyle name="Normal 5 2 3 2 14 7" xfId="38161"/>
    <cellStyle name="Normal 5 2 3 2 15" xfId="5089"/>
    <cellStyle name="Normal 5 2 3 2 15 2" xfId="5920"/>
    <cellStyle name="Normal 5 2 3 2 15 3" xfId="18022"/>
    <cellStyle name="Normal 5 2 3 2 15 4" xfId="23065"/>
    <cellStyle name="Normal 5 2 3 2 15 5" xfId="28026"/>
    <cellStyle name="Normal 5 2 3 2 15 6" xfId="32884"/>
    <cellStyle name="Normal 5 2 3 2 15 7" xfId="37615"/>
    <cellStyle name="Normal 5 2 3 2 16" xfId="5103"/>
    <cellStyle name="Normal 5 2 3 2 16 2" xfId="6078"/>
    <cellStyle name="Normal 5 2 3 2 16 3" xfId="18182"/>
    <cellStyle name="Normal 5 2 3 2 16 4" xfId="23225"/>
    <cellStyle name="Normal 5 2 3 2 16 5" xfId="28186"/>
    <cellStyle name="Normal 5 2 3 2 16 6" xfId="33044"/>
    <cellStyle name="Normal 5 2 3 2 16 7" xfId="37775"/>
    <cellStyle name="Normal 5 2 3 2 17" xfId="5139"/>
    <cellStyle name="Normal 5 2 3 2 17 2" xfId="6328"/>
    <cellStyle name="Normal 5 2 3 2 17 3" xfId="18436"/>
    <cellStyle name="Normal 5 2 3 2 17 4" xfId="23479"/>
    <cellStyle name="Normal 5 2 3 2 17 5" xfId="28440"/>
    <cellStyle name="Normal 5 2 3 2 17 6" xfId="33298"/>
    <cellStyle name="Normal 5 2 3 2 17 7" xfId="38029"/>
    <cellStyle name="Normal 5 2 3 2 18" xfId="5093"/>
    <cellStyle name="Normal 5 2 3 2 18 2" xfId="6783"/>
    <cellStyle name="Normal 5 2 3 2 18 3" xfId="18904"/>
    <cellStyle name="Normal 5 2 3 2 18 4" xfId="23947"/>
    <cellStyle name="Normal 5 2 3 2 18 5" xfId="28908"/>
    <cellStyle name="Normal 5 2 3 2 18 6" xfId="33766"/>
    <cellStyle name="Normal 5 2 3 2 18 7" xfId="38497"/>
    <cellStyle name="Normal 5 2 3 2 19" xfId="5443"/>
    <cellStyle name="Normal 5 2 3 2 19 2" xfId="6797"/>
    <cellStyle name="Normal 5 2 3 2 19 3" xfId="18918"/>
    <cellStyle name="Normal 5 2 3 2 19 4" xfId="23961"/>
    <cellStyle name="Normal 5 2 3 2 19 5" xfId="28922"/>
    <cellStyle name="Normal 5 2 3 2 19 6" xfId="33780"/>
    <cellStyle name="Normal 5 2 3 2 19 7" xfId="38511"/>
    <cellStyle name="Normal 5 2 3 2 2" xfId="4308"/>
    <cellStyle name="Normal 5 2 3 2 2 2" xfId="6222"/>
    <cellStyle name="Normal 5 2 3 2 2 3" xfId="18326"/>
    <cellStyle name="Normal 5 2 3 2 2 4" xfId="23369"/>
    <cellStyle name="Normal 5 2 3 2 2 5" xfId="28330"/>
    <cellStyle name="Normal 5 2 3 2 2 6" xfId="33188"/>
    <cellStyle name="Normal 5 2 3 2 2 7" xfId="37919"/>
    <cellStyle name="Normal 5 2 3 2 20" xfId="5473"/>
    <cellStyle name="Normal 5 2 3 2 20 2" xfId="6829"/>
    <cellStyle name="Normal 5 2 3 2 20 3" xfId="18950"/>
    <cellStyle name="Normal 5 2 3 2 20 4" xfId="23993"/>
    <cellStyle name="Normal 5 2 3 2 20 5" xfId="28954"/>
    <cellStyle name="Normal 5 2 3 2 20 6" xfId="33812"/>
    <cellStyle name="Normal 5 2 3 2 20 7" xfId="38543"/>
    <cellStyle name="Normal 5 2 3 2 21" xfId="5563"/>
    <cellStyle name="Normal 5 2 3 2 21 2" xfId="6715"/>
    <cellStyle name="Normal 5 2 3 2 21 3" xfId="18836"/>
    <cellStyle name="Normal 5 2 3 2 21 4" xfId="23879"/>
    <cellStyle name="Normal 5 2 3 2 21 5" xfId="28840"/>
    <cellStyle name="Normal 5 2 3 2 21 6" xfId="33698"/>
    <cellStyle name="Normal 5 2 3 2 21 7" xfId="38429"/>
    <cellStyle name="Normal 5 2 3 2 22" xfId="5320"/>
    <cellStyle name="Normal 5 2 3 2 22 2" xfId="7187"/>
    <cellStyle name="Normal 5 2 3 2 22 3" xfId="19342"/>
    <cellStyle name="Normal 5 2 3 2 22 4" xfId="24385"/>
    <cellStyle name="Normal 5 2 3 2 22 5" xfId="29346"/>
    <cellStyle name="Normal 5 2 3 2 22 6" xfId="34204"/>
    <cellStyle name="Normal 5 2 3 2 22 7" xfId="38935"/>
    <cellStyle name="Normal 5 2 3 2 23" xfId="5242"/>
    <cellStyle name="Normal 5 2 3 2 23 2" xfId="7225"/>
    <cellStyle name="Normal 5 2 3 2 23 3" xfId="19383"/>
    <cellStyle name="Normal 5 2 3 2 23 4" xfId="24426"/>
    <cellStyle name="Normal 5 2 3 2 23 5" xfId="29387"/>
    <cellStyle name="Normal 5 2 3 2 23 6" xfId="34245"/>
    <cellStyle name="Normal 5 2 3 2 23 7" xfId="38976"/>
    <cellStyle name="Normal 5 2 3 2 24" xfId="5208"/>
    <cellStyle name="Normal 5 2 3 2 24 2" xfId="7317"/>
    <cellStyle name="Normal 5 2 3 2 24 3" xfId="19488"/>
    <cellStyle name="Normal 5 2 3 2 24 4" xfId="24531"/>
    <cellStyle name="Normal 5 2 3 2 24 5" xfId="29492"/>
    <cellStyle name="Normal 5 2 3 2 24 6" xfId="34350"/>
    <cellStyle name="Normal 5 2 3 2 24 7" xfId="39081"/>
    <cellStyle name="Normal 5 2 3 2 25" xfId="5346"/>
    <cellStyle name="Normal 5 2 3 2 25 2" xfId="7033"/>
    <cellStyle name="Normal 5 2 3 2 25 3" xfId="19173"/>
    <cellStyle name="Normal 5 2 3 2 25 4" xfId="24216"/>
    <cellStyle name="Normal 5 2 3 2 25 5" xfId="29177"/>
    <cellStyle name="Normal 5 2 3 2 25 6" xfId="34035"/>
    <cellStyle name="Normal 5 2 3 2 25 7" xfId="38766"/>
    <cellStyle name="Normal 5 2 3 2 26" xfId="5535"/>
    <cellStyle name="Normal 5 2 3 2 26 2" xfId="6943"/>
    <cellStyle name="Normal 5 2 3 2 26 3" xfId="19072"/>
    <cellStyle name="Normal 5 2 3 2 26 4" xfId="24115"/>
    <cellStyle name="Normal 5 2 3 2 26 5" xfId="29076"/>
    <cellStyle name="Normal 5 2 3 2 26 6" xfId="33934"/>
    <cellStyle name="Normal 5 2 3 2 26 7" xfId="38665"/>
    <cellStyle name="Normal 5 2 3 2 27" xfId="5472"/>
    <cellStyle name="Normal 5 2 3 2 27 2" xfId="6883"/>
    <cellStyle name="Normal 5 2 3 2 27 3" xfId="19005"/>
    <cellStyle name="Normal 5 2 3 2 27 4" xfId="24048"/>
    <cellStyle name="Normal 5 2 3 2 27 5" xfId="29009"/>
    <cellStyle name="Normal 5 2 3 2 27 6" xfId="33867"/>
    <cellStyle name="Normal 5 2 3 2 27 7" xfId="38598"/>
    <cellStyle name="Normal 5 2 3 2 28" xfId="5793"/>
    <cellStyle name="Normal 5 2 3 2 28 2" xfId="14394"/>
    <cellStyle name="Normal 5 2 3 2 28 3" xfId="19375"/>
    <cellStyle name="Normal 5 2 3 2 28 4" xfId="24418"/>
    <cellStyle name="Normal 5 2 3 2 28 5" xfId="29379"/>
    <cellStyle name="Normal 5 2 3 2 28 6" xfId="34237"/>
    <cellStyle name="Normal 5 2 3 2 28 7" xfId="38968"/>
    <cellStyle name="Normal 5 2 3 2 29" xfId="7197"/>
    <cellStyle name="Normal 5 2 3 2 29 2" xfId="14389"/>
    <cellStyle name="Normal 5 2 3 2 29 3" xfId="19353"/>
    <cellStyle name="Normal 5 2 3 2 29 4" xfId="24396"/>
    <cellStyle name="Normal 5 2 3 2 29 5" xfId="29357"/>
    <cellStyle name="Normal 5 2 3 2 29 6" xfId="34215"/>
    <cellStyle name="Normal 5 2 3 2 29 7" xfId="38946"/>
    <cellStyle name="Normal 5 2 3 2 3" xfId="4262"/>
    <cellStyle name="Normal 5 2 3 2 3 2" xfId="6275"/>
    <cellStyle name="Normal 5 2 3 2 3 3" xfId="18379"/>
    <cellStyle name="Normal 5 2 3 2 3 4" xfId="23422"/>
    <cellStyle name="Normal 5 2 3 2 3 5" xfId="28383"/>
    <cellStyle name="Normal 5 2 3 2 3 6" xfId="33241"/>
    <cellStyle name="Normal 5 2 3 2 3 7" xfId="37972"/>
    <cellStyle name="Normal 5 2 3 2 30" xfId="7236"/>
    <cellStyle name="Normal 5 2 3 2 30 2" xfId="14405"/>
    <cellStyle name="Normal 5 2 3 2 30 3" xfId="19396"/>
    <cellStyle name="Normal 5 2 3 2 30 4" xfId="24439"/>
    <cellStyle name="Normal 5 2 3 2 30 5" xfId="29400"/>
    <cellStyle name="Normal 5 2 3 2 30 6" xfId="34258"/>
    <cellStyle name="Normal 5 2 3 2 30 7" xfId="38989"/>
    <cellStyle name="Normal 5 2 3 2 31" xfId="7204"/>
    <cellStyle name="Normal 5 2 3 2 31 2" xfId="14390"/>
    <cellStyle name="Normal 5 2 3 2 31 3" xfId="19360"/>
    <cellStyle name="Normal 5 2 3 2 31 4" xfId="24403"/>
    <cellStyle name="Normal 5 2 3 2 31 5" xfId="29364"/>
    <cellStyle name="Normal 5 2 3 2 31 6" xfId="34222"/>
    <cellStyle name="Normal 5 2 3 2 31 7" xfId="38953"/>
    <cellStyle name="Normal 5 2 3 2 32" xfId="7311"/>
    <cellStyle name="Normal 5 2 3 2 32 2" xfId="14448"/>
    <cellStyle name="Normal 5 2 3 2 32 3" xfId="19481"/>
    <cellStyle name="Normal 5 2 3 2 32 4" xfId="24524"/>
    <cellStyle name="Normal 5 2 3 2 32 5" xfId="29485"/>
    <cellStyle name="Normal 5 2 3 2 32 6" xfId="34343"/>
    <cellStyle name="Normal 5 2 3 2 32 7" xfId="39074"/>
    <cellStyle name="Normal 5 2 3 2 33" xfId="7216"/>
    <cellStyle name="Normal 5 2 3 2 33 2" xfId="14393"/>
    <cellStyle name="Normal 5 2 3 2 33 3" xfId="19373"/>
    <cellStyle name="Normal 5 2 3 2 33 4" xfId="24416"/>
    <cellStyle name="Normal 5 2 3 2 33 5" xfId="29377"/>
    <cellStyle name="Normal 5 2 3 2 33 6" xfId="34235"/>
    <cellStyle name="Normal 5 2 3 2 33 7" xfId="38966"/>
    <cellStyle name="Normal 5 2 3 2 34" xfId="7848"/>
    <cellStyle name="Normal 5 2 3 2 34 2" xfId="14928"/>
    <cellStyle name="Normal 5 2 3 2 34 3" xfId="20045"/>
    <cellStyle name="Normal 5 2 3 2 34 4" xfId="25088"/>
    <cellStyle name="Normal 5 2 3 2 34 5" xfId="30049"/>
    <cellStyle name="Normal 5 2 3 2 34 6" xfId="34907"/>
    <cellStyle name="Normal 5 2 3 2 34 7" xfId="39638"/>
    <cellStyle name="Normal 5 2 3 2 35" xfId="7895"/>
    <cellStyle name="Normal 5 2 3 2 35 2" xfId="14975"/>
    <cellStyle name="Normal 5 2 3 2 35 3" xfId="20092"/>
    <cellStyle name="Normal 5 2 3 2 35 4" xfId="25135"/>
    <cellStyle name="Normal 5 2 3 2 35 5" xfId="30096"/>
    <cellStyle name="Normal 5 2 3 2 35 6" xfId="34954"/>
    <cellStyle name="Normal 5 2 3 2 35 7" xfId="39685"/>
    <cellStyle name="Normal 5 2 3 2 36" xfId="8027"/>
    <cellStyle name="Normal 5 2 3 2 36 2" xfId="15107"/>
    <cellStyle name="Normal 5 2 3 2 36 3" xfId="20224"/>
    <cellStyle name="Normal 5 2 3 2 36 4" xfId="25267"/>
    <cellStyle name="Normal 5 2 3 2 36 5" xfId="30228"/>
    <cellStyle name="Normal 5 2 3 2 36 6" xfId="35086"/>
    <cellStyle name="Normal 5 2 3 2 36 7" xfId="39817"/>
    <cellStyle name="Normal 5 2 3 2 37" xfId="7662"/>
    <cellStyle name="Normal 5 2 3 2 37 2" xfId="14742"/>
    <cellStyle name="Normal 5 2 3 2 37 3" xfId="19859"/>
    <cellStyle name="Normal 5 2 3 2 37 4" xfId="24902"/>
    <cellStyle name="Normal 5 2 3 2 37 5" xfId="29863"/>
    <cellStyle name="Normal 5 2 3 2 37 6" xfId="34721"/>
    <cellStyle name="Normal 5 2 3 2 37 7" xfId="39452"/>
    <cellStyle name="Normal 5 2 3 2 38" xfId="7546"/>
    <cellStyle name="Normal 5 2 3 2 38 2" xfId="14624"/>
    <cellStyle name="Normal 5 2 3 2 38 3" xfId="19741"/>
    <cellStyle name="Normal 5 2 3 2 38 4" xfId="24784"/>
    <cellStyle name="Normal 5 2 3 2 38 5" xfId="29745"/>
    <cellStyle name="Normal 5 2 3 2 38 6" xfId="34603"/>
    <cellStyle name="Normal 5 2 3 2 38 7" xfId="39334"/>
    <cellStyle name="Normal 5 2 3 2 39" xfId="7473"/>
    <cellStyle name="Normal 5 2 3 2 39 2" xfId="14548"/>
    <cellStyle name="Normal 5 2 3 2 39 3" xfId="19665"/>
    <cellStyle name="Normal 5 2 3 2 39 4" xfId="24708"/>
    <cellStyle name="Normal 5 2 3 2 39 5" xfId="29669"/>
    <cellStyle name="Normal 5 2 3 2 39 6" xfId="34527"/>
    <cellStyle name="Normal 5 2 3 2 39 7" xfId="39258"/>
    <cellStyle name="Normal 5 2 3 2 4" xfId="4337"/>
    <cellStyle name="Normal 5 2 3 2 4 2" xfId="6418"/>
    <cellStyle name="Normal 5 2 3 2 4 3" xfId="18528"/>
    <cellStyle name="Normal 5 2 3 2 4 4" xfId="23571"/>
    <cellStyle name="Normal 5 2 3 2 4 5" xfId="28532"/>
    <cellStyle name="Normal 5 2 3 2 4 6" xfId="33390"/>
    <cellStyle name="Normal 5 2 3 2 4 7" xfId="38121"/>
    <cellStyle name="Normal 5 2 3 2 40" xfId="7886"/>
    <cellStyle name="Normal 5 2 3 2 40 2" xfId="14966"/>
    <cellStyle name="Normal 5 2 3 2 40 3" xfId="20083"/>
    <cellStyle name="Normal 5 2 3 2 40 4" xfId="25126"/>
    <cellStyle name="Normal 5 2 3 2 40 5" xfId="30087"/>
    <cellStyle name="Normal 5 2 3 2 40 6" xfId="34945"/>
    <cellStyle name="Normal 5 2 3 2 40 7" xfId="39676"/>
    <cellStyle name="Normal 5 2 3 2 41" xfId="7861"/>
    <cellStyle name="Normal 5 2 3 2 41 2" xfId="14941"/>
    <cellStyle name="Normal 5 2 3 2 41 3" xfId="20058"/>
    <cellStyle name="Normal 5 2 3 2 41 4" xfId="25101"/>
    <cellStyle name="Normal 5 2 3 2 41 5" xfId="30062"/>
    <cellStyle name="Normal 5 2 3 2 41 6" xfId="34920"/>
    <cellStyle name="Normal 5 2 3 2 41 7" xfId="39651"/>
    <cellStyle name="Normal 5 2 3 2 42" xfId="7911"/>
    <cellStyle name="Normal 5 2 3 2 42 2" xfId="14991"/>
    <cellStyle name="Normal 5 2 3 2 42 3" xfId="20108"/>
    <cellStyle name="Normal 5 2 3 2 42 4" xfId="25151"/>
    <cellStyle name="Normal 5 2 3 2 42 5" xfId="30112"/>
    <cellStyle name="Normal 5 2 3 2 42 6" xfId="34970"/>
    <cellStyle name="Normal 5 2 3 2 42 7" xfId="39701"/>
    <cellStyle name="Normal 5 2 3 2 43" xfId="7868"/>
    <cellStyle name="Normal 5 2 3 2 43 2" xfId="14948"/>
    <cellStyle name="Normal 5 2 3 2 43 3" xfId="20065"/>
    <cellStyle name="Normal 5 2 3 2 43 4" xfId="25108"/>
    <cellStyle name="Normal 5 2 3 2 43 5" xfId="30069"/>
    <cellStyle name="Normal 5 2 3 2 43 6" xfId="34927"/>
    <cellStyle name="Normal 5 2 3 2 43 7" xfId="39658"/>
    <cellStyle name="Normal 5 2 3 2 44" xfId="8018"/>
    <cellStyle name="Normal 5 2 3 2 44 2" xfId="15098"/>
    <cellStyle name="Normal 5 2 3 2 44 3" xfId="20215"/>
    <cellStyle name="Normal 5 2 3 2 44 4" xfId="25258"/>
    <cellStyle name="Normal 5 2 3 2 44 5" xfId="30219"/>
    <cellStyle name="Normal 5 2 3 2 44 6" xfId="35077"/>
    <cellStyle name="Normal 5 2 3 2 44 7" xfId="39808"/>
    <cellStyle name="Normal 5 2 3 2 45" xfId="7884"/>
    <cellStyle name="Normal 5 2 3 2 45 2" xfId="14964"/>
    <cellStyle name="Normal 5 2 3 2 45 3" xfId="20081"/>
    <cellStyle name="Normal 5 2 3 2 45 4" xfId="25124"/>
    <cellStyle name="Normal 5 2 3 2 45 5" xfId="30085"/>
    <cellStyle name="Normal 5 2 3 2 45 6" xfId="34943"/>
    <cellStyle name="Normal 5 2 3 2 45 7" xfId="39674"/>
    <cellStyle name="Normal 5 2 3 2 46" xfId="8062"/>
    <cellStyle name="Normal 5 2 3 2 46 2" xfId="15142"/>
    <cellStyle name="Normal 5 2 3 2 46 3" xfId="20259"/>
    <cellStyle name="Normal 5 2 3 2 46 4" xfId="25302"/>
    <cellStyle name="Normal 5 2 3 2 46 5" xfId="30263"/>
    <cellStyle name="Normal 5 2 3 2 46 6" xfId="35121"/>
    <cellStyle name="Normal 5 2 3 2 46 7" xfId="39852"/>
    <cellStyle name="Normal 5 2 3 2 47" xfId="7577"/>
    <cellStyle name="Normal 5 2 3 2 47 2" xfId="14657"/>
    <cellStyle name="Normal 5 2 3 2 47 3" xfId="19774"/>
    <cellStyle name="Normal 5 2 3 2 47 4" xfId="24817"/>
    <cellStyle name="Normal 5 2 3 2 47 5" xfId="29778"/>
    <cellStyle name="Normal 5 2 3 2 47 6" xfId="34636"/>
    <cellStyle name="Normal 5 2 3 2 47 7" xfId="39367"/>
    <cellStyle name="Normal 5 2 3 2 48" xfId="8643"/>
    <cellStyle name="Normal 5 2 3 2 48 2" xfId="15724"/>
    <cellStyle name="Normal 5 2 3 2 48 3" xfId="20841"/>
    <cellStyle name="Normal 5 2 3 2 48 4" xfId="25884"/>
    <cellStyle name="Normal 5 2 3 2 48 5" xfId="30845"/>
    <cellStyle name="Normal 5 2 3 2 48 6" xfId="35703"/>
    <cellStyle name="Normal 5 2 3 2 48 7" xfId="40434"/>
    <cellStyle name="Normal 5 2 3 2 49" xfId="8700"/>
    <cellStyle name="Normal 5 2 3 2 49 2" xfId="15781"/>
    <cellStyle name="Normal 5 2 3 2 49 3" xfId="20898"/>
    <cellStyle name="Normal 5 2 3 2 49 4" xfId="25941"/>
    <cellStyle name="Normal 5 2 3 2 49 5" xfId="30902"/>
    <cellStyle name="Normal 5 2 3 2 49 6" xfId="35760"/>
    <cellStyle name="Normal 5 2 3 2 49 7" xfId="40491"/>
    <cellStyle name="Normal 5 2 3 2 5" xfId="4425"/>
    <cellStyle name="Normal 5 2 3 2 5 2" xfId="6015"/>
    <cellStyle name="Normal 5 2 3 2 5 3" xfId="18118"/>
    <cellStyle name="Normal 5 2 3 2 5 4" xfId="23161"/>
    <cellStyle name="Normal 5 2 3 2 5 5" xfId="28122"/>
    <cellStyle name="Normal 5 2 3 2 5 6" xfId="32980"/>
    <cellStyle name="Normal 5 2 3 2 5 7" xfId="37711"/>
    <cellStyle name="Normal 5 2 3 2 50" xfId="8826"/>
    <cellStyle name="Normal 5 2 3 2 50 2" xfId="15907"/>
    <cellStyle name="Normal 5 2 3 2 50 3" xfId="21024"/>
    <cellStyle name="Normal 5 2 3 2 50 4" xfId="26067"/>
    <cellStyle name="Normal 5 2 3 2 50 5" xfId="31028"/>
    <cellStyle name="Normal 5 2 3 2 50 6" xfId="35886"/>
    <cellStyle name="Normal 5 2 3 2 50 7" xfId="40617"/>
    <cellStyle name="Normal 5 2 3 2 51" xfId="8441"/>
    <cellStyle name="Normal 5 2 3 2 51 2" xfId="15522"/>
    <cellStyle name="Normal 5 2 3 2 51 3" xfId="20639"/>
    <cellStyle name="Normal 5 2 3 2 51 4" xfId="25682"/>
    <cellStyle name="Normal 5 2 3 2 51 5" xfId="30643"/>
    <cellStyle name="Normal 5 2 3 2 51 6" xfId="35501"/>
    <cellStyle name="Normal 5 2 3 2 51 7" xfId="40232"/>
    <cellStyle name="Normal 5 2 3 2 52" xfId="8326"/>
    <cellStyle name="Normal 5 2 3 2 52 2" xfId="15407"/>
    <cellStyle name="Normal 5 2 3 2 52 3" xfId="20524"/>
    <cellStyle name="Normal 5 2 3 2 52 4" xfId="25567"/>
    <cellStyle name="Normal 5 2 3 2 52 5" xfId="30528"/>
    <cellStyle name="Normal 5 2 3 2 52 6" xfId="35386"/>
    <cellStyle name="Normal 5 2 3 2 52 7" xfId="40117"/>
    <cellStyle name="Normal 5 2 3 2 53" xfId="8240"/>
    <cellStyle name="Normal 5 2 3 2 53 2" xfId="15321"/>
    <cellStyle name="Normal 5 2 3 2 53 3" xfId="20438"/>
    <cellStyle name="Normal 5 2 3 2 53 4" xfId="25481"/>
    <cellStyle name="Normal 5 2 3 2 53 5" xfId="30442"/>
    <cellStyle name="Normal 5 2 3 2 53 6" xfId="35300"/>
    <cellStyle name="Normal 5 2 3 2 53 7" xfId="40031"/>
    <cellStyle name="Normal 5 2 3 2 54" xfId="8690"/>
    <cellStyle name="Normal 5 2 3 2 54 2" xfId="15771"/>
    <cellStyle name="Normal 5 2 3 2 54 3" xfId="20888"/>
    <cellStyle name="Normal 5 2 3 2 54 4" xfId="25931"/>
    <cellStyle name="Normal 5 2 3 2 54 5" xfId="30892"/>
    <cellStyle name="Normal 5 2 3 2 54 6" xfId="35750"/>
    <cellStyle name="Normal 5 2 3 2 54 7" xfId="40481"/>
    <cellStyle name="Normal 5 2 3 2 55" xfId="8463"/>
    <cellStyle name="Normal 5 2 3 2 55 2" xfId="15544"/>
    <cellStyle name="Normal 5 2 3 2 55 3" xfId="20661"/>
    <cellStyle name="Normal 5 2 3 2 55 4" xfId="25704"/>
    <cellStyle name="Normal 5 2 3 2 55 5" xfId="30665"/>
    <cellStyle name="Normal 5 2 3 2 55 6" xfId="35523"/>
    <cellStyle name="Normal 5 2 3 2 55 7" xfId="40254"/>
    <cellStyle name="Normal 5 2 3 2 56" xfId="8684"/>
    <cellStyle name="Normal 5 2 3 2 56 2" xfId="15765"/>
    <cellStyle name="Normal 5 2 3 2 56 3" xfId="20882"/>
    <cellStyle name="Normal 5 2 3 2 56 4" xfId="25925"/>
    <cellStyle name="Normal 5 2 3 2 56 5" xfId="30886"/>
    <cellStyle name="Normal 5 2 3 2 56 6" xfId="35744"/>
    <cellStyle name="Normal 5 2 3 2 56 7" xfId="40475"/>
    <cellStyle name="Normal 5 2 3 2 57" xfId="8519"/>
    <cellStyle name="Normal 5 2 3 2 57 2" xfId="15600"/>
    <cellStyle name="Normal 5 2 3 2 57 3" xfId="20717"/>
    <cellStyle name="Normal 5 2 3 2 57 4" xfId="25760"/>
    <cellStyle name="Normal 5 2 3 2 57 5" xfId="30721"/>
    <cellStyle name="Normal 5 2 3 2 57 6" xfId="35579"/>
    <cellStyle name="Normal 5 2 3 2 57 7" xfId="40310"/>
    <cellStyle name="Normal 5 2 3 2 58" xfId="8410"/>
    <cellStyle name="Normal 5 2 3 2 58 2" xfId="15491"/>
    <cellStyle name="Normal 5 2 3 2 58 3" xfId="20608"/>
    <cellStyle name="Normal 5 2 3 2 58 4" xfId="25651"/>
    <cellStyle name="Normal 5 2 3 2 58 5" xfId="30612"/>
    <cellStyle name="Normal 5 2 3 2 58 6" xfId="35470"/>
    <cellStyle name="Normal 5 2 3 2 58 7" xfId="40201"/>
    <cellStyle name="Normal 5 2 3 2 59" xfId="8788"/>
    <cellStyle name="Normal 5 2 3 2 59 2" xfId="15869"/>
    <cellStyle name="Normal 5 2 3 2 59 3" xfId="20986"/>
    <cellStyle name="Normal 5 2 3 2 59 4" xfId="26029"/>
    <cellStyle name="Normal 5 2 3 2 59 5" xfId="30990"/>
    <cellStyle name="Normal 5 2 3 2 59 6" xfId="35848"/>
    <cellStyle name="Normal 5 2 3 2 59 7" xfId="40579"/>
    <cellStyle name="Normal 5 2 3 2 6" xfId="4481"/>
    <cellStyle name="Normal 5 2 3 2 6 2" xfId="5887"/>
    <cellStyle name="Normal 5 2 3 2 6 3" xfId="17987"/>
    <cellStyle name="Normal 5 2 3 2 6 4" xfId="23030"/>
    <cellStyle name="Normal 5 2 3 2 6 5" xfId="27991"/>
    <cellStyle name="Normal 5 2 3 2 6 6" xfId="32849"/>
    <cellStyle name="Normal 5 2 3 2 6 7" xfId="37580"/>
    <cellStyle name="Normal 5 2 3 2 60" xfId="8837"/>
    <cellStyle name="Normal 5 2 3 2 60 2" xfId="15918"/>
    <cellStyle name="Normal 5 2 3 2 60 3" xfId="21035"/>
    <cellStyle name="Normal 5 2 3 2 60 4" xfId="26078"/>
    <cellStyle name="Normal 5 2 3 2 60 5" xfId="31039"/>
    <cellStyle name="Normal 5 2 3 2 60 6" xfId="35897"/>
    <cellStyle name="Normal 5 2 3 2 60 7" xfId="40628"/>
    <cellStyle name="Normal 5 2 3 2 61" xfId="8242"/>
    <cellStyle name="Normal 5 2 3 2 61 2" xfId="15323"/>
    <cellStyle name="Normal 5 2 3 2 61 3" xfId="20440"/>
    <cellStyle name="Normal 5 2 3 2 61 4" xfId="25483"/>
    <cellStyle name="Normal 5 2 3 2 61 5" xfId="30444"/>
    <cellStyle name="Normal 5 2 3 2 61 6" xfId="35302"/>
    <cellStyle name="Normal 5 2 3 2 61 7" xfId="40033"/>
    <cellStyle name="Normal 5 2 3 2 62" xfId="8480"/>
    <cellStyle name="Normal 5 2 3 2 62 2" xfId="15561"/>
    <cellStyle name="Normal 5 2 3 2 62 3" xfId="20678"/>
    <cellStyle name="Normal 5 2 3 2 62 4" xfId="25721"/>
    <cellStyle name="Normal 5 2 3 2 62 5" xfId="30682"/>
    <cellStyle name="Normal 5 2 3 2 62 6" xfId="35540"/>
    <cellStyle name="Normal 5 2 3 2 62 7" xfId="40271"/>
    <cellStyle name="Normal 5 2 3 2 63" xfId="9402"/>
    <cellStyle name="Normal 5 2 3 2 63 2" xfId="16483"/>
    <cellStyle name="Normal 5 2 3 2 63 3" xfId="21600"/>
    <cellStyle name="Normal 5 2 3 2 63 4" xfId="26643"/>
    <cellStyle name="Normal 5 2 3 2 63 5" xfId="31604"/>
    <cellStyle name="Normal 5 2 3 2 63 6" xfId="36462"/>
    <cellStyle name="Normal 5 2 3 2 63 7" xfId="41193"/>
    <cellStyle name="Normal 5 2 3 2 64" xfId="9443"/>
    <cellStyle name="Normal 5 2 3 2 64 2" xfId="16524"/>
    <cellStyle name="Normal 5 2 3 2 64 3" xfId="21641"/>
    <cellStyle name="Normal 5 2 3 2 64 4" xfId="26684"/>
    <cellStyle name="Normal 5 2 3 2 64 5" xfId="31645"/>
    <cellStyle name="Normal 5 2 3 2 64 6" xfId="36503"/>
    <cellStyle name="Normal 5 2 3 2 64 7" xfId="41234"/>
    <cellStyle name="Normal 5 2 3 2 65" xfId="9548"/>
    <cellStyle name="Normal 5 2 3 2 65 2" xfId="16629"/>
    <cellStyle name="Normal 5 2 3 2 65 3" xfId="21746"/>
    <cellStyle name="Normal 5 2 3 2 65 4" xfId="26789"/>
    <cellStyle name="Normal 5 2 3 2 65 5" xfId="31750"/>
    <cellStyle name="Normal 5 2 3 2 65 6" xfId="36608"/>
    <cellStyle name="Normal 5 2 3 2 65 7" xfId="41339"/>
    <cellStyle name="Normal 5 2 3 2 66" xfId="9233"/>
    <cellStyle name="Normal 5 2 3 2 66 2" xfId="16314"/>
    <cellStyle name="Normal 5 2 3 2 66 3" xfId="21431"/>
    <cellStyle name="Normal 5 2 3 2 66 4" xfId="26474"/>
    <cellStyle name="Normal 5 2 3 2 66 5" xfId="31435"/>
    <cellStyle name="Normal 5 2 3 2 66 6" xfId="36293"/>
    <cellStyle name="Normal 5 2 3 2 66 7" xfId="41024"/>
    <cellStyle name="Normal 5 2 3 2 67" xfId="9132"/>
    <cellStyle name="Normal 5 2 3 2 67 2" xfId="16213"/>
    <cellStyle name="Normal 5 2 3 2 67 3" xfId="21330"/>
    <cellStyle name="Normal 5 2 3 2 67 4" xfId="26373"/>
    <cellStyle name="Normal 5 2 3 2 67 5" xfId="31334"/>
    <cellStyle name="Normal 5 2 3 2 67 6" xfId="36192"/>
    <cellStyle name="Normal 5 2 3 2 67 7" xfId="40923"/>
    <cellStyle name="Normal 5 2 3 2 68" xfId="9065"/>
    <cellStyle name="Normal 5 2 3 2 68 2" xfId="16146"/>
    <cellStyle name="Normal 5 2 3 2 68 3" xfId="21263"/>
    <cellStyle name="Normal 5 2 3 2 68 4" xfId="26306"/>
    <cellStyle name="Normal 5 2 3 2 68 5" xfId="31267"/>
    <cellStyle name="Normal 5 2 3 2 68 6" xfId="36125"/>
    <cellStyle name="Normal 5 2 3 2 68 7" xfId="40856"/>
    <cellStyle name="Normal 5 2 3 2 69" xfId="9435"/>
    <cellStyle name="Normal 5 2 3 2 69 2" xfId="16516"/>
    <cellStyle name="Normal 5 2 3 2 69 3" xfId="21633"/>
    <cellStyle name="Normal 5 2 3 2 69 4" xfId="26676"/>
    <cellStyle name="Normal 5 2 3 2 69 5" xfId="31637"/>
    <cellStyle name="Normal 5 2 3 2 69 6" xfId="36495"/>
    <cellStyle name="Normal 5 2 3 2 69 7" xfId="41226"/>
    <cellStyle name="Normal 5 2 3 2 7" xfId="4590"/>
    <cellStyle name="Normal 5 2 3 2 7 2" xfId="5807"/>
    <cellStyle name="Normal 5 2 3 2 7 3" xfId="17904"/>
    <cellStyle name="Normal 5 2 3 2 7 4" xfId="22947"/>
    <cellStyle name="Normal 5 2 3 2 7 5" xfId="27908"/>
    <cellStyle name="Normal 5 2 3 2 7 6" xfId="32766"/>
    <cellStyle name="Normal 5 2 3 2 7 7" xfId="37497"/>
    <cellStyle name="Normal 5 2 3 2 70" xfId="9413"/>
    <cellStyle name="Normal 5 2 3 2 70 2" xfId="16494"/>
    <cellStyle name="Normal 5 2 3 2 70 3" xfId="21611"/>
    <cellStyle name="Normal 5 2 3 2 70 4" xfId="26654"/>
    <cellStyle name="Normal 5 2 3 2 70 5" xfId="31615"/>
    <cellStyle name="Normal 5 2 3 2 70 6" xfId="36473"/>
    <cellStyle name="Normal 5 2 3 2 70 7" xfId="41204"/>
    <cellStyle name="Normal 5 2 3 2 71" xfId="9456"/>
    <cellStyle name="Normal 5 2 3 2 71 2" xfId="16537"/>
    <cellStyle name="Normal 5 2 3 2 71 3" xfId="21654"/>
    <cellStyle name="Normal 5 2 3 2 71 4" xfId="26697"/>
    <cellStyle name="Normal 5 2 3 2 71 5" xfId="31658"/>
    <cellStyle name="Normal 5 2 3 2 71 6" xfId="36516"/>
    <cellStyle name="Normal 5 2 3 2 71 7" xfId="41247"/>
    <cellStyle name="Normal 5 2 3 2 72" xfId="9420"/>
    <cellStyle name="Normal 5 2 3 2 72 2" xfId="16501"/>
    <cellStyle name="Normal 5 2 3 2 72 3" xfId="21618"/>
    <cellStyle name="Normal 5 2 3 2 72 4" xfId="26661"/>
    <cellStyle name="Normal 5 2 3 2 72 5" xfId="31622"/>
    <cellStyle name="Normal 5 2 3 2 72 6" xfId="36480"/>
    <cellStyle name="Normal 5 2 3 2 72 7" xfId="41211"/>
    <cellStyle name="Normal 5 2 3 2 73" xfId="9541"/>
    <cellStyle name="Normal 5 2 3 2 73 2" xfId="16622"/>
    <cellStyle name="Normal 5 2 3 2 73 3" xfId="21739"/>
    <cellStyle name="Normal 5 2 3 2 73 4" xfId="26782"/>
    <cellStyle name="Normal 5 2 3 2 73 5" xfId="31743"/>
    <cellStyle name="Normal 5 2 3 2 73 6" xfId="36601"/>
    <cellStyle name="Normal 5 2 3 2 73 7" xfId="41332"/>
    <cellStyle name="Normal 5 2 3 2 74" xfId="9433"/>
    <cellStyle name="Normal 5 2 3 2 74 2" xfId="16514"/>
    <cellStyle name="Normal 5 2 3 2 74 3" xfId="21631"/>
    <cellStyle name="Normal 5 2 3 2 74 4" xfId="26674"/>
    <cellStyle name="Normal 5 2 3 2 74 5" xfId="31635"/>
    <cellStyle name="Normal 5 2 3 2 74 6" xfId="36493"/>
    <cellStyle name="Normal 5 2 3 2 74 7" xfId="41224"/>
    <cellStyle name="Normal 5 2 3 2 75" xfId="9897"/>
    <cellStyle name="Normal 5 2 3 2 75 2" xfId="16978"/>
    <cellStyle name="Normal 5 2 3 2 75 3" xfId="22095"/>
    <cellStyle name="Normal 5 2 3 2 75 4" xfId="27138"/>
    <cellStyle name="Normal 5 2 3 2 75 5" xfId="32099"/>
    <cellStyle name="Normal 5 2 3 2 75 6" xfId="36957"/>
    <cellStyle name="Normal 5 2 3 2 75 7" xfId="41688"/>
    <cellStyle name="Normal 5 2 3 2 76" xfId="9923"/>
    <cellStyle name="Normal 5 2 3 2 76 2" xfId="17004"/>
    <cellStyle name="Normal 5 2 3 2 76 3" xfId="22121"/>
    <cellStyle name="Normal 5 2 3 2 76 4" xfId="27164"/>
    <cellStyle name="Normal 5 2 3 2 76 5" xfId="32125"/>
    <cellStyle name="Normal 5 2 3 2 76 6" xfId="36983"/>
    <cellStyle name="Normal 5 2 3 2 76 7" xfId="41714"/>
    <cellStyle name="Normal 5 2 3 2 77" xfId="9973"/>
    <cellStyle name="Normal 5 2 3 2 77 2" xfId="17054"/>
    <cellStyle name="Normal 5 2 3 2 77 3" xfId="22171"/>
    <cellStyle name="Normal 5 2 3 2 77 4" xfId="27214"/>
    <cellStyle name="Normal 5 2 3 2 77 5" xfId="32175"/>
    <cellStyle name="Normal 5 2 3 2 77 6" xfId="37033"/>
    <cellStyle name="Normal 5 2 3 2 77 7" xfId="41764"/>
    <cellStyle name="Normal 5 2 3 2 78" xfId="9808"/>
    <cellStyle name="Normal 5 2 3 2 78 2" xfId="16889"/>
    <cellStyle name="Normal 5 2 3 2 78 3" xfId="22006"/>
    <cellStyle name="Normal 5 2 3 2 78 4" xfId="27049"/>
    <cellStyle name="Normal 5 2 3 2 78 5" xfId="32010"/>
    <cellStyle name="Normal 5 2 3 2 78 6" xfId="36868"/>
    <cellStyle name="Normal 5 2 3 2 78 7" xfId="41599"/>
    <cellStyle name="Normal 5 2 3 2 79" xfId="9756"/>
    <cellStyle name="Normal 5 2 3 2 79 2" xfId="16837"/>
    <cellStyle name="Normal 5 2 3 2 79 3" xfId="21954"/>
    <cellStyle name="Normal 5 2 3 2 79 4" xfId="26997"/>
    <cellStyle name="Normal 5 2 3 2 79 5" xfId="31958"/>
    <cellStyle name="Normal 5 2 3 2 79 6" xfId="36816"/>
    <cellStyle name="Normal 5 2 3 2 79 7" xfId="41547"/>
    <cellStyle name="Normal 5 2 3 2 8" xfId="4597"/>
    <cellStyle name="Normal 5 2 3 2 8 2" xfId="6265"/>
    <cellStyle name="Normal 5 2 3 2 8 3" xfId="18369"/>
    <cellStyle name="Normal 5 2 3 2 8 4" xfId="23412"/>
    <cellStyle name="Normal 5 2 3 2 8 5" xfId="28373"/>
    <cellStyle name="Normal 5 2 3 2 8 6" xfId="33231"/>
    <cellStyle name="Normal 5 2 3 2 8 7" xfId="37962"/>
    <cellStyle name="Normal 5 2 3 2 80" xfId="9724"/>
    <cellStyle name="Normal 5 2 3 2 80 2" xfId="16805"/>
    <cellStyle name="Normal 5 2 3 2 80 3" xfId="21922"/>
    <cellStyle name="Normal 5 2 3 2 80 4" xfId="26965"/>
    <cellStyle name="Normal 5 2 3 2 80 5" xfId="31926"/>
    <cellStyle name="Normal 5 2 3 2 80 6" xfId="36784"/>
    <cellStyle name="Normal 5 2 3 2 80 7" xfId="41515"/>
    <cellStyle name="Normal 5 2 3 2 81" xfId="10227"/>
    <cellStyle name="Normal 5 2 3 2 81 2" xfId="17308"/>
    <cellStyle name="Normal 5 2 3 2 81 3" xfId="22425"/>
    <cellStyle name="Normal 5 2 3 2 81 4" xfId="27468"/>
    <cellStyle name="Normal 5 2 3 2 81 5" xfId="32429"/>
    <cellStyle name="Normal 5 2 3 2 81 6" xfId="37287"/>
    <cellStyle name="Normal 5 2 3 2 81 7" xfId="42018"/>
    <cellStyle name="Normal 5 2 3 2 82" xfId="10253"/>
    <cellStyle name="Normal 5 2 3 2 82 2" xfId="17334"/>
    <cellStyle name="Normal 5 2 3 2 82 3" xfId="22451"/>
    <cellStyle name="Normal 5 2 3 2 82 4" xfId="27494"/>
    <cellStyle name="Normal 5 2 3 2 82 5" xfId="32455"/>
    <cellStyle name="Normal 5 2 3 2 82 6" xfId="37313"/>
    <cellStyle name="Normal 5 2 3 2 82 7" xfId="42044"/>
    <cellStyle name="Normal 5 2 3 2 83" xfId="10303"/>
    <cellStyle name="Normal 5 2 3 2 83 2" xfId="17384"/>
    <cellStyle name="Normal 5 2 3 2 83 3" xfId="22501"/>
    <cellStyle name="Normal 5 2 3 2 83 4" xfId="27544"/>
    <cellStyle name="Normal 5 2 3 2 83 5" xfId="32505"/>
    <cellStyle name="Normal 5 2 3 2 83 6" xfId="37363"/>
    <cellStyle name="Normal 5 2 3 2 83 7" xfId="42094"/>
    <cellStyle name="Normal 5 2 3 2 84" xfId="10138"/>
    <cellStyle name="Normal 5 2 3 2 84 2" xfId="17219"/>
    <cellStyle name="Normal 5 2 3 2 84 3" xfId="22336"/>
    <cellStyle name="Normal 5 2 3 2 84 4" xfId="27379"/>
    <cellStyle name="Normal 5 2 3 2 84 5" xfId="32340"/>
    <cellStyle name="Normal 5 2 3 2 84 6" xfId="37198"/>
    <cellStyle name="Normal 5 2 3 2 84 7" xfId="41929"/>
    <cellStyle name="Normal 5 2 3 2 85" xfId="10086"/>
    <cellStyle name="Normal 5 2 3 2 85 2" xfId="17167"/>
    <cellStyle name="Normal 5 2 3 2 85 3" xfId="22284"/>
    <cellStyle name="Normal 5 2 3 2 85 4" xfId="27327"/>
    <cellStyle name="Normal 5 2 3 2 85 5" xfId="32288"/>
    <cellStyle name="Normal 5 2 3 2 85 6" xfId="37146"/>
    <cellStyle name="Normal 5 2 3 2 85 7" xfId="41877"/>
    <cellStyle name="Normal 5 2 3 2 86" xfId="10054"/>
    <cellStyle name="Normal 5 2 3 2 86 2" xfId="17135"/>
    <cellStyle name="Normal 5 2 3 2 86 3" xfId="22252"/>
    <cellStyle name="Normal 5 2 3 2 86 4" xfId="27295"/>
    <cellStyle name="Normal 5 2 3 2 86 5" xfId="32256"/>
    <cellStyle name="Normal 5 2 3 2 86 6" xfId="37114"/>
    <cellStyle name="Normal 5 2 3 2 86 7" xfId="41845"/>
    <cellStyle name="Normal 5 2 3 2 87" xfId="13061"/>
    <cellStyle name="Normal 5 2 3 2 88" xfId="10672"/>
    <cellStyle name="Normal 5 2 3 2 89" xfId="13287"/>
    <cellStyle name="Normal 5 2 3 2 9" xfId="4623"/>
    <cellStyle name="Normal 5 2 3 2 9 2" xfId="6236"/>
    <cellStyle name="Normal 5 2 3 2 9 3" xfId="18340"/>
    <cellStyle name="Normal 5 2 3 2 9 4" xfId="23383"/>
    <cellStyle name="Normal 5 2 3 2 9 5" xfId="28344"/>
    <cellStyle name="Normal 5 2 3 2 9 6" xfId="33202"/>
    <cellStyle name="Normal 5 2 3 2 9 7" xfId="37933"/>
    <cellStyle name="Normal 5 2 3 2 90" xfId="13470"/>
    <cellStyle name="Normal 5 2 3 2 91" xfId="12655"/>
    <cellStyle name="Normal 5 2 3 2 92" xfId="11638"/>
    <cellStyle name="Normal 5 2 3 3" xfId="12524"/>
    <cellStyle name="Normal 5 2 3 4" xfId="12557"/>
    <cellStyle name="Normal 5 2 3 5" xfId="12820"/>
    <cellStyle name="Normal 5 2 3 6" xfId="11843"/>
    <cellStyle name="Normal 5 2 3 7" xfId="12873"/>
    <cellStyle name="Normal 5 2 3 8" xfId="11962"/>
    <cellStyle name="Normal 5 2 30" xfId="5760"/>
    <cellStyle name="Normal 5 2 30 2" xfId="14353"/>
    <cellStyle name="Normal 5 2 30 3" xfId="19264"/>
    <cellStyle name="Normal 5 2 30 4" xfId="24307"/>
    <cellStyle name="Normal 5 2 30 5" xfId="29268"/>
    <cellStyle name="Normal 5 2 30 6" xfId="34126"/>
    <cellStyle name="Normal 5 2 30 7" xfId="38857"/>
    <cellStyle name="Normal 5 2 31" xfId="6983"/>
    <cellStyle name="Normal 5 2 31 2" xfId="14280"/>
    <cellStyle name="Normal 5 2 31 3" xfId="19117"/>
    <cellStyle name="Normal 5 2 31 4" xfId="24160"/>
    <cellStyle name="Normal 5 2 31 5" xfId="29121"/>
    <cellStyle name="Normal 5 2 31 6" xfId="33979"/>
    <cellStyle name="Normal 5 2 31 7" xfId="38710"/>
    <cellStyle name="Normal 5 2 32" xfId="7334"/>
    <cellStyle name="Normal 5 2 32 2" xfId="14459"/>
    <cellStyle name="Normal 5 2 32 3" xfId="19506"/>
    <cellStyle name="Normal 5 2 32 4" xfId="24549"/>
    <cellStyle name="Normal 5 2 32 5" xfId="29510"/>
    <cellStyle name="Normal 5 2 32 6" xfId="34368"/>
    <cellStyle name="Normal 5 2 32 7" xfId="39099"/>
    <cellStyle name="Normal 5 2 33" xfId="6978"/>
    <cellStyle name="Normal 5 2 33 2" xfId="14276"/>
    <cellStyle name="Normal 5 2 33 3" xfId="19111"/>
    <cellStyle name="Normal 5 2 33 4" xfId="24154"/>
    <cellStyle name="Normal 5 2 33 5" xfId="29115"/>
    <cellStyle name="Normal 5 2 33 6" xfId="33973"/>
    <cellStyle name="Normal 5 2 33 7" xfId="38704"/>
    <cellStyle name="Normal 5 2 34" xfId="6975"/>
    <cellStyle name="Normal 5 2 34 2" xfId="14275"/>
    <cellStyle name="Normal 5 2 34 3" xfId="19108"/>
    <cellStyle name="Normal 5 2 34 4" xfId="24151"/>
    <cellStyle name="Normal 5 2 34 5" xfId="29112"/>
    <cellStyle name="Normal 5 2 34 6" xfId="33970"/>
    <cellStyle name="Normal 5 2 34 7" xfId="38701"/>
    <cellStyle name="Normal 5 2 35" xfId="7060"/>
    <cellStyle name="Normal 5 2 35 2" xfId="14325"/>
    <cellStyle name="Normal 5 2 35 3" xfId="19204"/>
    <cellStyle name="Normal 5 2 35 4" xfId="24247"/>
    <cellStyle name="Normal 5 2 35 5" xfId="29208"/>
    <cellStyle name="Normal 5 2 35 6" xfId="34066"/>
    <cellStyle name="Normal 5 2 35 7" xfId="38797"/>
    <cellStyle name="Normal 5 2 36" xfId="7652"/>
    <cellStyle name="Normal 5 2 36 2" xfId="14732"/>
    <cellStyle name="Normal 5 2 36 3" xfId="19849"/>
    <cellStyle name="Normal 5 2 36 4" xfId="24892"/>
    <cellStyle name="Normal 5 2 36 5" xfId="29853"/>
    <cellStyle name="Normal 5 2 36 6" xfId="34711"/>
    <cellStyle name="Normal 5 2 36 7" xfId="39442"/>
    <cellStyle name="Normal 5 2 37" xfId="7943"/>
    <cellStyle name="Normal 5 2 37 2" xfId="15023"/>
    <cellStyle name="Normal 5 2 37 3" xfId="20140"/>
    <cellStyle name="Normal 5 2 37 4" xfId="25183"/>
    <cellStyle name="Normal 5 2 37 5" xfId="30144"/>
    <cellStyle name="Normal 5 2 37 6" xfId="35002"/>
    <cellStyle name="Normal 5 2 37 7" xfId="39733"/>
    <cellStyle name="Normal 5 2 38" xfId="7929"/>
    <cellStyle name="Normal 5 2 38 2" xfId="15009"/>
    <cellStyle name="Normal 5 2 38 3" xfId="20126"/>
    <cellStyle name="Normal 5 2 38 4" xfId="25169"/>
    <cellStyle name="Normal 5 2 38 5" xfId="30130"/>
    <cellStyle name="Normal 5 2 38 6" xfId="34988"/>
    <cellStyle name="Normal 5 2 38 7" xfId="39719"/>
    <cellStyle name="Normal 5 2 39" xfId="7685"/>
    <cellStyle name="Normal 5 2 39 2" xfId="14765"/>
    <cellStyle name="Normal 5 2 39 3" xfId="19882"/>
    <cellStyle name="Normal 5 2 39 4" xfId="24925"/>
    <cellStyle name="Normal 5 2 39 5" xfId="29886"/>
    <cellStyle name="Normal 5 2 39 6" xfId="34744"/>
    <cellStyle name="Normal 5 2 39 7" xfId="39475"/>
    <cellStyle name="Normal 5 2 4" xfId="4250"/>
    <cellStyle name="Normal 5 2 4 2" xfId="6004"/>
    <cellStyle name="Normal 5 2 4 3" xfId="18107"/>
    <cellStyle name="Normal 5 2 4 4" xfId="23150"/>
    <cellStyle name="Normal 5 2 4 5" xfId="28111"/>
    <cellStyle name="Normal 5 2 4 6" xfId="32969"/>
    <cellStyle name="Normal 5 2 4 7" xfId="37700"/>
    <cellStyle name="Normal 5 2 40" xfId="8026"/>
    <cellStyle name="Normal 5 2 40 2" xfId="15106"/>
    <cellStyle name="Normal 5 2 40 3" xfId="20223"/>
    <cellStyle name="Normal 5 2 40 4" xfId="25266"/>
    <cellStyle name="Normal 5 2 40 5" xfId="30227"/>
    <cellStyle name="Normal 5 2 40 6" xfId="35085"/>
    <cellStyle name="Normal 5 2 40 7" xfId="39816"/>
    <cellStyle name="Normal 5 2 41" xfId="7974"/>
    <cellStyle name="Normal 5 2 41 2" xfId="15054"/>
    <cellStyle name="Normal 5 2 41 3" xfId="20171"/>
    <cellStyle name="Normal 5 2 41 4" xfId="25214"/>
    <cellStyle name="Normal 5 2 41 5" xfId="30175"/>
    <cellStyle name="Normal 5 2 41 6" xfId="35033"/>
    <cellStyle name="Normal 5 2 41 7" xfId="39764"/>
    <cellStyle name="Normal 5 2 42" xfId="7763"/>
    <cellStyle name="Normal 5 2 42 2" xfId="14843"/>
    <cellStyle name="Normal 5 2 42 3" xfId="19960"/>
    <cellStyle name="Normal 5 2 42 4" xfId="25003"/>
    <cellStyle name="Normal 5 2 42 5" xfId="29964"/>
    <cellStyle name="Normal 5 2 42 6" xfId="34822"/>
    <cellStyle name="Normal 5 2 42 7" xfId="39553"/>
    <cellStyle name="Normal 5 2 43" xfId="7597"/>
    <cellStyle name="Normal 5 2 43 2" xfId="14677"/>
    <cellStyle name="Normal 5 2 43 3" xfId="19794"/>
    <cellStyle name="Normal 5 2 43 4" xfId="24837"/>
    <cellStyle name="Normal 5 2 43 5" xfId="29798"/>
    <cellStyle name="Normal 5 2 43 6" xfId="34656"/>
    <cellStyle name="Normal 5 2 43 7" xfId="39387"/>
    <cellStyle name="Normal 5 2 44" xfId="8049"/>
    <cellStyle name="Normal 5 2 44 2" xfId="15129"/>
    <cellStyle name="Normal 5 2 44 3" xfId="20246"/>
    <cellStyle name="Normal 5 2 44 4" xfId="25289"/>
    <cellStyle name="Normal 5 2 44 5" xfId="30250"/>
    <cellStyle name="Normal 5 2 44 6" xfId="35108"/>
    <cellStyle name="Normal 5 2 44 7" xfId="39839"/>
    <cellStyle name="Normal 5 2 45" xfId="7591"/>
    <cellStyle name="Normal 5 2 45 2" xfId="14671"/>
    <cellStyle name="Normal 5 2 45 3" xfId="19788"/>
    <cellStyle name="Normal 5 2 45 4" xfId="24831"/>
    <cellStyle name="Normal 5 2 45 5" xfId="29792"/>
    <cellStyle name="Normal 5 2 45 6" xfId="34650"/>
    <cellStyle name="Normal 5 2 45 7" xfId="39381"/>
    <cellStyle name="Normal 5 2 46" xfId="7588"/>
    <cellStyle name="Normal 5 2 46 2" xfId="14668"/>
    <cellStyle name="Normal 5 2 46 3" xfId="19785"/>
    <cellStyle name="Normal 5 2 46 4" xfId="24828"/>
    <cellStyle name="Normal 5 2 46 5" xfId="29789"/>
    <cellStyle name="Normal 5 2 46 6" xfId="34647"/>
    <cellStyle name="Normal 5 2 46 7" xfId="39378"/>
    <cellStyle name="Normal 5 2 47" xfId="7697"/>
    <cellStyle name="Normal 5 2 47 2" xfId="14777"/>
    <cellStyle name="Normal 5 2 47 3" xfId="19894"/>
    <cellStyle name="Normal 5 2 47 4" xfId="24937"/>
    <cellStyle name="Normal 5 2 47 5" xfId="29898"/>
    <cellStyle name="Normal 5 2 47 6" xfId="34756"/>
    <cellStyle name="Normal 5 2 47 7" xfId="39487"/>
    <cellStyle name="Normal 5 2 48" xfId="7796"/>
    <cellStyle name="Normal 5 2 48 2" xfId="14876"/>
    <cellStyle name="Normal 5 2 48 3" xfId="19993"/>
    <cellStyle name="Normal 5 2 48 4" xfId="25036"/>
    <cellStyle name="Normal 5 2 48 5" xfId="29997"/>
    <cellStyle name="Normal 5 2 48 6" xfId="34855"/>
    <cellStyle name="Normal 5 2 48 7" xfId="39586"/>
    <cellStyle name="Normal 5 2 49" xfId="7694"/>
    <cellStyle name="Normal 5 2 49 2" xfId="14774"/>
    <cellStyle name="Normal 5 2 49 3" xfId="19891"/>
    <cellStyle name="Normal 5 2 49 4" xfId="24934"/>
    <cellStyle name="Normal 5 2 49 5" xfId="29895"/>
    <cellStyle name="Normal 5 2 49 6" xfId="34753"/>
    <cellStyle name="Normal 5 2 49 7" xfId="39484"/>
    <cellStyle name="Normal 5 2 5" xfId="4317"/>
    <cellStyle name="Normal 5 2 5 2" xfId="6329"/>
    <cellStyle name="Normal 5 2 5 3" xfId="18437"/>
    <cellStyle name="Normal 5 2 5 4" xfId="23480"/>
    <cellStyle name="Normal 5 2 5 5" xfId="28441"/>
    <cellStyle name="Normal 5 2 5 6" xfId="33299"/>
    <cellStyle name="Normal 5 2 5 7" xfId="38030"/>
    <cellStyle name="Normal 5 2 50" xfId="8427"/>
    <cellStyle name="Normal 5 2 50 2" xfId="15508"/>
    <cellStyle name="Normal 5 2 50 3" xfId="20625"/>
    <cellStyle name="Normal 5 2 50 4" xfId="25668"/>
    <cellStyle name="Normal 5 2 50 5" xfId="30629"/>
    <cellStyle name="Normal 5 2 50 6" xfId="35487"/>
    <cellStyle name="Normal 5 2 50 7" xfId="40218"/>
    <cellStyle name="Normal 5 2 51" xfId="8740"/>
    <cellStyle name="Normal 5 2 51 2" xfId="15821"/>
    <cellStyle name="Normal 5 2 51 3" xfId="20938"/>
    <cellStyle name="Normal 5 2 51 4" xfId="25981"/>
    <cellStyle name="Normal 5 2 51 5" xfId="30942"/>
    <cellStyle name="Normal 5 2 51 6" xfId="35800"/>
    <cellStyle name="Normal 5 2 51 7" xfId="40531"/>
    <cellStyle name="Normal 5 2 52" xfId="8726"/>
    <cellStyle name="Normal 5 2 52 2" xfId="15807"/>
    <cellStyle name="Normal 5 2 52 3" xfId="20924"/>
    <cellStyle name="Normal 5 2 52 4" xfId="25967"/>
    <cellStyle name="Normal 5 2 52 5" xfId="30928"/>
    <cellStyle name="Normal 5 2 52 6" xfId="35786"/>
    <cellStyle name="Normal 5 2 52 7" xfId="40517"/>
    <cellStyle name="Normal 5 2 53" xfId="8469"/>
    <cellStyle name="Normal 5 2 53 2" xfId="15550"/>
    <cellStyle name="Normal 5 2 53 3" xfId="20667"/>
    <cellStyle name="Normal 5 2 53 4" xfId="25710"/>
    <cellStyle name="Normal 5 2 53 5" xfId="30671"/>
    <cellStyle name="Normal 5 2 53 6" xfId="35529"/>
    <cellStyle name="Normal 5 2 53 7" xfId="40260"/>
    <cellStyle name="Normal 5 2 54" xfId="8824"/>
    <cellStyle name="Normal 5 2 54 2" xfId="15905"/>
    <cellStyle name="Normal 5 2 54 3" xfId="21022"/>
    <cellStyle name="Normal 5 2 54 4" xfId="26065"/>
    <cellStyle name="Normal 5 2 54 5" xfId="31026"/>
    <cellStyle name="Normal 5 2 54 6" xfId="35884"/>
    <cellStyle name="Normal 5 2 54 7" xfId="40615"/>
    <cellStyle name="Normal 5 2 55" xfId="8774"/>
    <cellStyle name="Normal 5 2 55 2" xfId="15855"/>
    <cellStyle name="Normal 5 2 55 3" xfId="20972"/>
    <cellStyle name="Normal 5 2 55 4" xfId="26015"/>
    <cellStyle name="Normal 5 2 55 5" xfId="30976"/>
    <cellStyle name="Normal 5 2 55 6" xfId="35834"/>
    <cellStyle name="Normal 5 2 55 7" xfId="40565"/>
    <cellStyle name="Normal 5 2 56" xfId="8552"/>
    <cellStyle name="Normal 5 2 56 2" xfId="15633"/>
    <cellStyle name="Normal 5 2 56 3" xfId="20750"/>
    <cellStyle name="Normal 5 2 56 4" xfId="25793"/>
    <cellStyle name="Normal 5 2 56 5" xfId="30754"/>
    <cellStyle name="Normal 5 2 56 6" xfId="35612"/>
    <cellStyle name="Normal 5 2 56 7" xfId="40343"/>
    <cellStyle name="Normal 5 2 57" xfId="8482"/>
    <cellStyle name="Normal 5 2 57 2" xfId="15563"/>
    <cellStyle name="Normal 5 2 57 3" xfId="20680"/>
    <cellStyle name="Normal 5 2 57 4" xfId="25723"/>
    <cellStyle name="Normal 5 2 57 5" xfId="30684"/>
    <cellStyle name="Normal 5 2 57 6" xfId="35542"/>
    <cellStyle name="Normal 5 2 57 7" xfId="40273"/>
    <cellStyle name="Normal 5 2 58" xfId="8424"/>
    <cellStyle name="Normal 5 2 58 2" xfId="15505"/>
    <cellStyle name="Normal 5 2 58 3" xfId="20622"/>
    <cellStyle name="Normal 5 2 58 4" xfId="25665"/>
    <cellStyle name="Normal 5 2 58 5" xfId="30626"/>
    <cellStyle name="Normal 5 2 58 6" xfId="35484"/>
    <cellStyle name="Normal 5 2 58 7" xfId="40215"/>
    <cellStyle name="Normal 5 2 59" xfId="8843"/>
    <cellStyle name="Normal 5 2 59 2" xfId="15924"/>
    <cellStyle name="Normal 5 2 59 3" xfId="21041"/>
    <cellStyle name="Normal 5 2 59 4" xfId="26084"/>
    <cellStyle name="Normal 5 2 59 5" xfId="31045"/>
    <cellStyle name="Normal 5 2 59 6" xfId="35903"/>
    <cellStyle name="Normal 5 2 59 7" xfId="40634"/>
    <cellStyle name="Normal 5 2 6" xfId="4238"/>
    <cellStyle name="Normal 5 2 6 2" xfId="6312"/>
    <cellStyle name="Normal 5 2 6 3" xfId="18420"/>
    <cellStyle name="Normal 5 2 6 4" xfId="23463"/>
    <cellStyle name="Normal 5 2 6 5" xfId="28424"/>
    <cellStyle name="Normal 5 2 6 6" xfId="33282"/>
    <cellStyle name="Normal 5 2 6 7" xfId="38013"/>
    <cellStyle name="Normal 5 2 60" xfId="8544"/>
    <cellStyle name="Normal 5 2 60 2" xfId="15625"/>
    <cellStyle name="Normal 5 2 60 3" xfId="20742"/>
    <cellStyle name="Normal 5 2 60 4" xfId="25785"/>
    <cellStyle name="Normal 5 2 60 5" xfId="30746"/>
    <cellStyle name="Normal 5 2 60 6" xfId="35604"/>
    <cellStyle name="Normal 5 2 60 7" xfId="40335"/>
    <cellStyle name="Normal 5 2 61" xfId="8871"/>
    <cellStyle name="Normal 5 2 61 2" xfId="15952"/>
    <cellStyle name="Normal 5 2 61 3" xfId="21069"/>
    <cellStyle name="Normal 5 2 61 4" xfId="26112"/>
    <cellStyle name="Normal 5 2 61 5" xfId="31073"/>
    <cellStyle name="Normal 5 2 61 6" xfId="35931"/>
    <cellStyle name="Normal 5 2 61 7" xfId="40662"/>
    <cellStyle name="Normal 5 2 62" xfId="8940"/>
    <cellStyle name="Normal 5 2 62 2" xfId="16021"/>
    <cellStyle name="Normal 5 2 62 3" xfId="21138"/>
    <cellStyle name="Normal 5 2 62 4" xfId="26181"/>
    <cellStyle name="Normal 5 2 62 5" xfId="31142"/>
    <cellStyle name="Normal 5 2 62 6" xfId="36000"/>
    <cellStyle name="Normal 5 2 62 7" xfId="40731"/>
    <cellStyle name="Normal 5 2 63" xfId="8362"/>
    <cellStyle name="Normal 5 2 63 2" xfId="15443"/>
    <cellStyle name="Normal 5 2 63 3" xfId="20560"/>
    <cellStyle name="Normal 5 2 63 4" xfId="25603"/>
    <cellStyle name="Normal 5 2 63 5" xfId="30564"/>
    <cellStyle name="Normal 5 2 63 6" xfId="35422"/>
    <cellStyle name="Normal 5 2 63 7" xfId="40153"/>
    <cellStyle name="Normal 5 2 64" xfId="8259"/>
    <cellStyle name="Normal 5 2 64 2" xfId="15340"/>
    <cellStyle name="Normal 5 2 64 3" xfId="20457"/>
    <cellStyle name="Normal 5 2 64 4" xfId="25500"/>
    <cellStyle name="Normal 5 2 64 5" xfId="30461"/>
    <cellStyle name="Normal 5 2 64 6" xfId="35319"/>
    <cellStyle name="Normal 5 2 64 7" xfId="40050"/>
    <cellStyle name="Normal 5 2 65" xfId="9224"/>
    <cellStyle name="Normal 5 2 65 2" xfId="16305"/>
    <cellStyle name="Normal 5 2 65 3" xfId="21422"/>
    <cellStyle name="Normal 5 2 65 4" xfId="26465"/>
    <cellStyle name="Normal 5 2 65 5" xfId="31426"/>
    <cellStyle name="Normal 5 2 65 6" xfId="36284"/>
    <cellStyle name="Normal 5 2 65 7" xfId="41015"/>
    <cellStyle name="Normal 5 2 66" xfId="9482"/>
    <cellStyle name="Normal 5 2 66 2" xfId="16563"/>
    <cellStyle name="Normal 5 2 66 3" xfId="21680"/>
    <cellStyle name="Normal 5 2 66 4" xfId="26723"/>
    <cellStyle name="Normal 5 2 66 5" xfId="31684"/>
    <cellStyle name="Normal 5 2 66 6" xfId="36542"/>
    <cellStyle name="Normal 5 2 66 7" xfId="41273"/>
    <cellStyle name="Normal 5 2 67" xfId="9470"/>
    <cellStyle name="Normal 5 2 67 2" xfId="16551"/>
    <cellStyle name="Normal 5 2 67 3" xfId="21668"/>
    <cellStyle name="Normal 5 2 67 4" xfId="26711"/>
    <cellStyle name="Normal 5 2 67 5" xfId="31672"/>
    <cellStyle name="Normal 5 2 67 6" xfId="36530"/>
    <cellStyle name="Normal 5 2 67 7" xfId="41261"/>
    <cellStyle name="Normal 5 2 68" xfId="9254"/>
    <cellStyle name="Normal 5 2 68 2" xfId="16335"/>
    <cellStyle name="Normal 5 2 68 3" xfId="21452"/>
    <cellStyle name="Normal 5 2 68 4" xfId="26495"/>
    <cellStyle name="Normal 5 2 68 5" xfId="31456"/>
    <cellStyle name="Normal 5 2 68 6" xfId="36314"/>
    <cellStyle name="Normal 5 2 68 7" xfId="41045"/>
    <cellStyle name="Normal 5 2 69" xfId="9547"/>
    <cellStyle name="Normal 5 2 69 2" xfId="16628"/>
    <cellStyle name="Normal 5 2 69 3" xfId="21745"/>
    <cellStyle name="Normal 5 2 69 4" xfId="26788"/>
    <cellStyle name="Normal 5 2 69 5" xfId="31749"/>
    <cellStyle name="Normal 5 2 69 6" xfId="36607"/>
    <cellStyle name="Normal 5 2 69 7" xfId="41338"/>
    <cellStyle name="Normal 5 2 7" xfId="4392"/>
    <cellStyle name="Normal 5 2 7 2" xfId="6040"/>
    <cellStyle name="Normal 5 2 7 3" xfId="18144"/>
    <cellStyle name="Normal 5 2 7 4" xfId="23187"/>
    <cellStyle name="Normal 5 2 7 5" xfId="28148"/>
    <cellStyle name="Normal 5 2 7 6" xfId="33006"/>
    <cellStyle name="Normal 5 2 7 7" xfId="37737"/>
    <cellStyle name="Normal 5 2 70" xfId="9505"/>
    <cellStyle name="Normal 5 2 70 2" xfId="16586"/>
    <cellStyle name="Normal 5 2 70 3" xfId="21703"/>
    <cellStyle name="Normal 5 2 70 4" xfId="26746"/>
    <cellStyle name="Normal 5 2 70 5" xfId="31707"/>
    <cellStyle name="Normal 5 2 70 6" xfId="36565"/>
    <cellStyle name="Normal 5 2 70 7" xfId="41296"/>
    <cellStyle name="Normal 5 2 71" xfId="9324"/>
    <cellStyle name="Normal 5 2 71 2" xfId="16405"/>
    <cellStyle name="Normal 5 2 71 3" xfId="21522"/>
    <cellStyle name="Normal 5 2 71 4" xfId="26565"/>
    <cellStyle name="Normal 5 2 71 5" xfId="31526"/>
    <cellStyle name="Normal 5 2 71 6" xfId="36384"/>
    <cellStyle name="Normal 5 2 71 7" xfId="41115"/>
    <cellStyle name="Normal 5 2 72" xfId="9177"/>
    <cellStyle name="Normal 5 2 72 2" xfId="16258"/>
    <cellStyle name="Normal 5 2 72 3" xfId="21375"/>
    <cellStyle name="Normal 5 2 72 4" xfId="26418"/>
    <cellStyle name="Normal 5 2 72 5" xfId="31379"/>
    <cellStyle name="Normal 5 2 72 6" xfId="36237"/>
    <cellStyle name="Normal 5 2 72 7" xfId="40968"/>
    <cellStyle name="Normal 5 2 73" xfId="9566"/>
    <cellStyle name="Normal 5 2 73 2" xfId="16647"/>
    <cellStyle name="Normal 5 2 73 3" xfId="21764"/>
    <cellStyle name="Normal 5 2 73 4" xfId="26807"/>
    <cellStyle name="Normal 5 2 73 5" xfId="31768"/>
    <cellStyle name="Normal 5 2 73 6" xfId="36626"/>
    <cellStyle name="Normal 5 2 73 7" xfId="41357"/>
    <cellStyle name="Normal 5 2 74" xfId="9171"/>
    <cellStyle name="Normal 5 2 74 2" xfId="16252"/>
    <cellStyle name="Normal 5 2 74 3" xfId="21369"/>
    <cellStyle name="Normal 5 2 74 4" xfId="26412"/>
    <cellStyle name="Normal 5 2 74 5" xfId="31373"/>
    <cellStyle name="Normal 5 2 74 6" xfId="36231"/>
    <cellStyle name="Normal 5 2 74 7" xfId="40962"/>
    <cellStyle name="Normal 5 2 75" xfId="9168"/>
    <cellStyle name="Normal 5 2 75 2" xfId="16249"/>
    <cellStyle name="Normal 5 2 75 3" xfId="21366"/>
    <cellStyle name="Normal 5 2 75 4" xfId="26409"/>
    <cellStyle name="Normal 5 2 75 5" xfId="31370"/>
    <cellStyle name="Normal 5 2 75 6" xfId="36228"/>
    <cellStyle name="Normal 5 2 75 7" xfId="40959"/>
    <cellStyle name="Normal 5 2 76" xfId="9264"/>
    <cellStyle name="Normal 5 2 76 2" xfId="16345"/>
    <cellStyle name="Normal 5 2 76 3" xfId="21462"/>
    <cellStyle name="Normal 5 2 76 4" xfId="26505"/>
    <cellStyle name="Normal 5 2 76 5" xfId="31466"/>
    <cellStyle name="Normal 5 2 76 6" xfId="36324"/>
    <cellStyle name="Normal 5 2 76 7" xfId="41055"/>
    <cellStyle name="Normal 5 2 77" xfId="9801"/>
    <cellStyle name="Normal 5 2 77 2" xfId="16882"/>
    <cellStyle name="Normal 5 2 77 3" xfId="21999"/>
    <cellStyle name="Normal 5 2 77 4" xfId="27042"/>
    <cellStyle name="Normal 5 2 77 5" xfId="32003"/>
    <cellStyle name="Normal 5 2 77 6" xfId="36861"/>
    <cellStyle name="Normal 5 2 77 7" xfId="41592"/>
    <cellStyle name="Normal 5 2 78" xfId="9943"/>
    <cellStyle name="Normal 5 2 78 2" xfId="17024"/>
    <cellStyle name="Normal 5 2 78 3" xfId="22141"/>
    <cellStyle name="Normal 5 2 78 4" xfId="27184"/>
    <cellStyle name="Normal 5 2 78 5" xfId="32145"/>
    <cellStyle name="Normal 5 2 78 6" xfId="37003"/>
    <cellStyle name="Normal 5 2 78 7" xfId="41734"/>
    <cellStyle name="Normal 5 2 79" xfId="9935"/>
    <cellStyle name="Normal 5 2 79 2" xfId="17016"/>
    <cellStyle name="Normal 5 2 79 3" xfId="22133"/>
    <cellStyle name="Normal 5 2 79 4" xfId="27176"/>
    <cellStyle name="Normal 5 2 79 5" xfId="32137"/>
    <cellStyle name="Normal 5 2 79 6" xfId="36995"/>
    <cellStyle name="Normal 5 2 79 7" xfId="41726"/>
    <cellStyle name="Normal 5 2 8" xfId="4448"/>
    <cellStyle name="Normal 5 2 8 2" xfId="6417"/>
    <cellStyle name="Normal 5 2 8 3" xfId="18527"/>
    <cellStyle name="Normal 5 2 8 4" xfId="23570"/>
    <cellStyle name="Normal 5 2 8 5" xfId="28531"/>
    <cellStyle name="Normal 5 2 8 6" xfId="33389"/>
    <cellStyle name="Normal 5 2 8 7" xfId="38120"/>
    <cellStyle name="Normal 5 2 80" xfId="9815"/>
    <cellStyle name="Normal 5 2 80 2" xfId="16896"/>
    <cellStyle name="Normal 5 2 80 3" xfId="22013"/>
    <cellStyle name="Normal 5 2 80 4" xfId="27056"/>
    <cellStyle name="Normal 5 2 80 5" xfId="32017"/>
    <cellStyle name="Normal 5 2 80 6" xfId="36875"/>
    <cellStyle name="Normal 5 2 80 7" xfId="41606"/>
    <cellStyle name="Normal 5 2 81" xfId="9972"/>
    <cellStyle name="Normal 5 2 81 2" xfId="17053"/>
    <cellStyle name="Normal 5 2 81 3" xfId="22170"/>
    <cellStyle name="Normal 5 2 81 4" xfId="27213"/>
    <cellStyle name="Normal 5 2 81 5" xfId="32174"/>
    <cellStyle name="Normal 5 2 81 6" xfId="37032"/>
    <cellStyle name="Normal 5 2 81 7" xfId="41763"/>
    <cellStyle name="Normal 5 2 82" xfId="9954"/>
    <cellStyle name="Normal 5 2 82 2" xfId="17035"/>
    <cellStyle name="Normal 5 2 82 3" xfId="22152"/>
    <cellStyle name="Normal 5 2 82 4" xfId="27195"/>
    <cellStyle name="Normal 5 2 82 5" xfId="32156"/>
    <cellStyle name="Normal 5 2 82 6" xfId="37014"/>
    <cellStyle name="Normal 5 2 82 7" xfId="41745"/>
    <cellStyle name="Normal 5 2 83" xfId="10131"/>
    <cellStyle name="Normal 5 2 83 2" xfId="17212"/>
    <cellStyle name="Normal 5 2 83 3" xfId="22329"/>
    <cellStyle name="Normal 5 2 83 4" xfId="27372"/>
    <cellStyle name="Normal 5 2 83 5" xfId="32333"/>
    <cellStyle name="Normal 5 2 83 6" xfId="37191"/>
    <cellStyle name="Normal 5 2 83 7" xfId="41922"/>
    <cellStyle name="Normal 5 2 84" xfId="10273"/>
    <cellStyle name="Normal 5 2 84 2" xfId="17354"/>
    <cellStyle name="Normal 5 2 84 3" xfId="22471"/>
    <cellStyle name="Normal 5 2 84 4" xfId="27514"/>
    <cellStyle name="Normal 5 2 84 5" xfId="32475"/>
    <cellStyle name="Normal 5 2 84 6" xfId="37333"/>
    <cellStyle name="Normal 5 2 84 7" xfId="42064"/>
    <cellStyle name="Normal 5 2 85" xfId="10265"/>
    <cellStyle name="Normal 5 2 85 2" xfId="17346"/>
    <cellStyle name="Normal 5 2 85 3" xfId="22463"/>
    <cellStyle name="Normal 5 2 85 4" xfId="27506"/>
    <cellStyle name="Normal 5 2 85 5" xfId="32467"/>
    <cellStyle name="Normal 5 2 85 6" xfId="37325"/>
    <cellStyle name="Normal 5 2 85 7" xfId="42056"/>
    <cellStyle name="Normal 5 2 86" xfId="10145"/>
    <cellStyle name="Normal 5 2 86 2" xfId="17226"/>
    <cellStyle name="Normal 5 2 86 3" xfId="22343"/>
    <cellStyle name="Normal 5 2 86 4" xfId="27386"/>
    <cellStyle name="Normal 5 2 86 5" xfId="32347"/>
    <cellStyle name="Normal 5 2 86 6" xfId="37205"/>
    <cellStyle name="Normal 5 2 86 7" xfId="41936"/>
    <cellStyle name="Normal 5 2 87" xfId="10302"/>
    <cellStyle name="Normal 5 2 87 2" xfId="17383"/>
    <cellStyle name="Normal 5 2 87 3" xfId="22500"/>
    <cellStyle name="Normal 5 2 87 4" xfId="27543"/>
    <cellStyle name="Normal 5 2 87 5" xfId="32504"/>
    <cellStyle name="Normal 5 2 87 6" xfId="37362"/>
    <cellStyle name="Normal 5 2 87 7" xfId="42093"/>
    <cellStyle name="Normal 5 2 88" xfId="10284"/>
    <cellStyle name="Normal 5 2 88 2" xfId="17365"/>
    <cellStyle name="Normal 5 2 88 3" xfId="22482"/>
    <cellStyle name="Normal 5 2 88 4" xfId="27525"/>
    <cellStyle name="Normal 5 2 88 5" xfId="32486"/>
    <cellStyle name="Normal 5 2 88 6" xfId="37344"/>
    <cellStyle name="Normal 5 2 88 7" xfId="42075"/>
    <cellStyle name="Normal 5 2 89" xfId="12235"/>
    <cellStyle name="Normal 5 2 9" xfId="4532"/>
    <cellStyle name="Normal 5 2 9 2" xfId="6363"/>
    <cellStyle name="Normal 5 2 9 3" xfId="18472"/>
    <cellStyle name="Normal 5 2 9 4" xfId="23515"/>
    <cellStyle name="Normal 5 2 9 5" xfId="28476"/>
    <cellStyle name="Normal 5 2 9 6" xfId="33334"/>
    <cellStyle name="Normal 5 2 9 7" xfId="38065"/>
    <cellStyle name="Normal 5 2 90" xfId="11783"/>
    <cellStyle name="Normal 5 2 91" xfId="13260"/>
    <cellStyle name="Normal 5 2 92" xfId="12459"/>
    <cellStyle name="Normal 5 2 93" xfId="12578"/>
    <cellStyle name="Normal 5 2 94" xfId="13141"/>
    <cellStyle name="Normal 5 3" xfId="1576"/>
    <cellStyle name="Normal 5 3 2" xfId="12427"/>
    <cellStyle name="Normal 5 3 3" xfId="14062"/>
    <cellStyle name="Normal 5 3 4" xfId="17777"/>
    <cellStyle name="Normal 5 3 5" xfId="22843"/>
    <cellStyle name="Normal 5 3 6" xfId="27824"/>
    <cellStyle name="Normal 5 3 7" xfId="32707"/>
    <cellStyle name="Normal 5 4" xfId="1714"/>
    <cellStyle name="Normal 5 4 10" xfId="4500"/>
    <cellStyle name="Normal 5 4 10 2" xfId="6396"/>
    <cellStyle name="Normal 5 4 10 3" xfId="18506"/>
    <cellStyle name="Normal 5 4 10 4" xfId="23549"/>
    <cellStyle name="Normal 5 4 10 5" xfId="28510"/>
    <cellStyle name="Normal 5 4 10 6" xfId="33368"/>
    <cellStyle name="Normal 5 4 10 7" xfId="38099"/>
    <cellStyle name="Normal 5 4 11" xfId="4680"/>
    <cellStyle name="Normal 5 4 11 2" xfId="6459"/>
    <cellStyle name="Normal 5 4 11 3" xfId="18569"/>
    <cellStyle name="Normal 5 4 11 4" xfId="23612"/>
    <cellStyle name="Normal 5 4 11 5" xfId="28573"/>
    <cellStyle name="Normal 5 4 11 6" xfId="33431"/>
    <cellStyle name="Normal 5 4 11 7" xfId="38162"/>
    <cellStyle name="Normal 5 4 12" xfId="4814"/>
    <cellStyle name="Normal 5 4 12 2" xfId="6046"/>
    <cellStyle name="Normal 5 4 12 3" xfId="18150"/>
    <cellStyle name="Normal 5 4 12 4" xfId="23193"/>
    <cellStyle name="Normal 5 4 12 5" xfId="28154"/>
    <cellStyle name="Normal 5 4 12 6" xfId="33012"/>
    <cellStyle name="Normal 5 4 12 7" xfId="37743"/>
    <cellStyle name="Normal 5 4 13" xfId="4767"/>
    <cellStyle name="Normal 5 4 13 2" xfId="5992"/>
    <cellStyle name="Normal 5 4 13 3" xfId="18095"/>
    <cellStyle name="Normal 5 4 13 4" xfId="23138"/>
    <cellStyle name="Normal 5 4 13 5" xfId="28099"/>
    <cellStyle name="Normal 5 4 13 6" xfId="32957"/>
    <cellStyle name="Normal 5 4 13 7" xfId="37688"/>
    <cellStyle name="Normal 5 4 14" xfId="4748"/>
    <cellStyle name="Normal 5 4 14 2" xfId="6145"/>
    <cellStyle name="Normal 5 4 14 3" xfId="18249"/>
    <cellStyle name="Normal 5 4 14 4" xfId="23292"/>
    <cellStyle name="Normal 5 4 14 5" xfId="28253"/>
    <cellStyle name="Normal 5 4 14 6" xfId="33111"/>
    <cellStyle name="Normal 5 4 14 7" xfId="37842"/>
    <cellStyle name="Normal 5 4 15" xfId="4890"/>
    <cellStyle name="Normal 5 4 15 2" xfId="5868"/>
    <cellStyle name="Normal 5 4 15 3" xfId="17968"/>
    <cellStyle name="Normal 5 4 15 4" xfId="23011"/>
    <cellStyle name="Normal 5 4 15 5" xfId="27972"/>
    <cellStyle name="Normal 5 4 15 6" xfId="32830"/>
    <cellStyle name="Normal 5 4 15 7" xfId="37561"/>
    <cellStyle name="Normal 5 4 16" xfId="5030"/>
    <cellStyle name="Normal 5 4 16 2" xfId="6438"/>
    <cellStyle name="Normal 5 4 16 3" xfId="18548"/>
    <cellStyle name="Normal 5 4 16 4" xfId="23591"/>
    <cellStyle name="Normal 5 4 16 5" xfId="28552"/>
    <cellStyle name="Normal 5 4 16 6" xfId="33410"/>
    <cellStyle name="Normal 5 4 16 7" xfId="38141"/>
    <cellStyle name="Normal 5 4 17" xfId="4987"/>
    <cellStyle name="Normal 5 4 17 2" xfId="6034"/>
    <cellStyle name="Normal 5 4 17 3" xfId="18138"/>
    <cellStyle name="Normal 5 4 17 4" xfId="23181"/>
    <cellStyle name="Normal 5 4 17 5" xfId="28142"/>
    <cellStyle name="Normal 5 4 17 6" xfId="33000"/>
    <cellStyle name="Normal 5 4 17 7" xfId="37731"/>
    <cellStyle name="Normal 5 4 18" xfId="4971"/>
    <cellStyle name="Normal 5 4 18 2" xfId="5898"/>
    <cellStyle name="Normal 5 4 18 3" xfId="17999"/>
    <cellStyle name="Normal 5 4 18 4" xfId="23042"/>
    <cellStyle name="Normal 5 4 18 5" xfId="28003"/>
    <cellStyle name="Normal 5 4 18 6" xfId="32861"/>
    <cellStyle name="Normal 5 4 18 7" xfId="37592"/>
    <cellStyle name="Normal 5 4 19" xfId="5024"/>
    <cellStyle name="Normal 5 4 19 2" xfId="6729"/>
    <cellStyle name="Normal 5 4 19 3" xfId="18850"/>
    <cellStyle name="Normal 5 4 19 4" xfId="23893"/>
    <cellStyle name="Normal 5 4 19 5" xfId="28854"/>
    <cellStyle name="Normal 5 4 19 6" xfId="33712"/>
    <cellStyle name="Normal 5 4 19 7" xfId="38443"/>
    <cellStyle name="Normal 5 4 2" xfId="2467"/>
    <cellStyle name="Normal 5 4 2 2" xfId="13014"/>
    <cellStyle name="Normal 5 4 2 3" xfId="13070"/>
    <cellStyle name="Normal 5 4 2 4" xfId="13886"/>
    <cellStyle name="Normal 5 4 2 5" xfId="17620"/>
    <cellStyle name="Normal 5 4 2 6" xfId="22709"/>
    <cellStyle name="Normal 5 4 2 7" xfId="27720"/>
    <cellStyle name="Normal 5 4 20" xfId="5355"/>
    <cellStyle name="Normal 5 4 20 2" xfId="6687"/>
    <cellStyle name="Normal 5 4 20 3" xfId="18807"/>
    <cellStyle name="Normal 5 4 20 4" xfId="23850"/>
    <cellStyle name="Normal 5 4 20 5" xfId="28811"/>
    <cellStyle name="Normal 5 4 20 6" xfId="33669"/>
    <cellStyle name="Normal 5 4 20 7" xfId="38400"/>
    <cellStyle name="Normal 5 4 21" xfId="5248"/>
    <cellStyle name="Normal 5 4 21 2" xfId="6669"/>
    <cellStyle name="Normal 5 4 21 3" xfId="18789"/>
    <cellStyle name="Normal 5 4 21 4" xfId="23832"/>
    <cellStyle name="Normal 5 4 21 5" xfId="28793"/>
    <cellStyle name="Normal 5 4 21 6" xfId="33651"/>
    <cellStyle name="Normal 5 4 21 7" xfId="38382"/>
    <cellStyle name="Normal 5 4 22" xfId="5200"/>
    <cellStyle name="Normal 5 4 22 2" xfId="6814"/>
    <cellStyle name="Normal 5 4 22 3" xfId="18935"/>
    <cellStyle name="Normal 5 4 22 4" xfId="23978"/>
    <cellStyle name="Normal 5 4 22 5" xfId="28939"/>
    <cellStyle name="Normal 5 4 22 6" xfId="33797"/>
    <cellStyle name="Normal 5 4 22 7" xfId="38528"/>
    <cellStyle name="Normal 5 4 23" xfId="5505"/>
    <cellStyle name="Normal 5 4 23 2" xfId="7077"/>
    <cellStyle name="Normal 5 4 23 3" xfId="19221"/>
    <cellStyle name="Normal 5 4 23 4" xfId="24264"/>
    <cellStyle name="Normal 5 4 23 5" xfId="29225"/>
    <cellStyle name="Normal 5 4 23 6" xfId="34083"/>
    <cellStyle name="Normal 5 4 23 7" xfId="38814"/>
    <cellStyle name="Normal 5 4 24" xfId="5406"/>
    <cellStyle name="Normal 5 4 24 2" xfId="6951"/>
    <cellStyle name="Normal 5 4 24 3" xfId="19082"/>
    <cellStyle name="Normal 5 4 24 4" xfId="24125"/>
    <cellStyle name="Normal 5 4 24 5" xfId="29086"/>
    <cellStyle name="Normal 5 4 24 6" xfId="33944"/>
    <cellStyle name="Normal 5 4 24 7" xfId="38675"/>
    <cellStyle name="Normal 5 4 25" xfId="5534"/>
    <cellStyle name="Normal 5 4 25 2" xfId="6906"/>
    <cellStyle name="Normal 5 4 25 3" xfId="19030"/>
    <cellStyle name="Normal 5 4 25 4" xfId="24073"/>
    <cellStyle name="Normal 5 4 25 5" xfId="29034"/>
    <cellStyle name="Normal 5 4 25 6" xfId="33892"/>
    <cellStyle name="Normal 5 4 25 7" xfId="38623"/>
    <cellStyle name="Normal 5 4 26" xfId="5393"/>
    <cellStyle name="Normal 5 4 26 2" xfId="7270"/>
    <cellStyle name="Normal 5 4 26 3" xfId="19434"/>
    <cellStyle name="Normal 5 4 26 4" xfId="24477"/>
    <cellStyle name="Normal 5 4 26 5" xfId="29438"/>
    <cellStyle name="Normal 5 4 26 6" xfId="34296"/>
    <cellStyle name="Normal 5 4 26 7" xfId="39027"/>
    <cellStyle name="Normal 5 4 27" xfId="5238"/>
    <cellStyle name="Normal 5 4 27 2" xfId="7063"/>
    <cellStyle name="Normal 5 4 27 3" xfId="19207"/>
    <cellStyle name="Normal 5 4 27 4" xfId="24250"/>
    <cellStyle name="Normal 5 4 27 5" xfId="29211"/>
    <cellStyle name="Normal 5 4 27 6" xfId="34069"/>
    <cellStyle name="Normal 5 4 27 7" xfId="38800"/>
    <cellStyle name="Normal 5 4 28" xfId="5546"/>
    <cellStyle name="Normal 5 4 28 2" xfId="7252"/>
    <cellStyle name="Normal 5 4 28 3" xfId="19415"/>
    <cellStyle name="Normal 5 4 28 4" xfId="24458"/>
    <cellStyle name="Normal 5 4 28 5" xfId="29419"/>
    <cellStyle name="Normal 5 4 28 6" xfId="34277"/>
    <cellStyle name="Normal 5 4 28 7" xfId="39008"/>
    <cellStyle name="Normal 5 4 29" xfId="5766"/>
    <cellStyle name="Normal 5 4 29 2" xfId="14274"/>
    <cellStyle name="Normal 5 4 29 3" xfId="19107"/>
    <cellStyle name="Normal 5 4 29 4" xfId="24150"/>
    <cellStyle name="Normal 5 4 29 5" xfId="29111"/>
    <cellStyle name="Normal 5 4 29 6" xfId="33969"/>
    <cellStyle name="Normal 5 4 29 7" xfId="38700"/>
    <cellStyle name="Normal 5 4 3" xfId="4264"/>
    <cellStyle name="Normal 5 4 3 2" xfId="6076"/>
    <cellStyle name="Normal 5 4 3 3" xfId="18180"/>
    <cellStyle name="Normal 5 4 3 4" xfId="23223"/>
    <cellStyle name="Normal 5 4 3 5" xfId="28184"/>
    <cellStyle name="Normal 5 4 3 6" xfId="33042"/>
    <cellStyle name="Normal 5 4 3 7" xfId="37773"/>
    <cellStyle name="Normal 5 4 30" xfId="7302"/>
    <cellStyle name="Normal 5 4 30 2" xfId="14445"/>
    <cellStyle name="Normal 5 4 30 3" xfId="19471"/>
    <cellStyle name="Normal 5 4 30 4" xfId="24514"/>
    <cellStyle name="Normal 5 4 30 5" xfId="29475"/>
    <cellStyle name="Normal 5 4 30 6" xfId="34333"/>
    <cellStyle name="Normal 5 4 30 7" xfId="39064"/>
    <cellStyle name="Normal 5 4 31" xfId="7344"/>
    <cellStyle name="Normal 5 4 31 2" xfId="14466"/>
    <cellStyle name="Normal 5 4 31 3" xfId="19517"/>
    <cellStyle name="Normal 5 4 31 4" xfId="24560"/>
    <cellStyle name="Normal 5 4 31 5" xfId="29521"/>
    <cellStyle name="Normal 5 4 31 6" xfId="34379"/>
    <cellStyle name="Normal 5 4 31 7" xfId="39110"/>
    <cellStyle name="Normal 5 4 32" xfId="7055"/>
    <cellStyle name="Normal 5 4 32 2" xfId="14321"/>
    <cellStyle name="Normal 5 4 32 3" xfId="19199"/>
    <cellStyle name="Normal 5 4 32 4" xfId="24242"/>
    <cellStyle name="Normal 5 4 32 5" xfId="29203"/>
    <cellStyle name="Normal 5 4 32 6" xfId="34061"/>
    <cellStyle name="Normal 5 4 32 7" xfId="38792"/>
    <cellStyle name="Normal 5 4 33" xfId="7013"/>
    <cellStyle name="Normal 5 4 33 2" xfId="14301"/>
    <cellStyle name="Normal 5 4 33 3" xfId="19152"/>
    <cellStyle name="Normal 5 4 33 4" xfId="24195"/>
    <cellStyle name="Normal 5 4 33 5" xfId="29156"/>
    <cellStyle name="Normal 5 4 33 6" xfId="34014"/>
    <cellStyle name="Normal 5 4 33 7" xfId="38745"/>
    <cellStyle name="Normal 5 4 34" xfId="7128"/>
    <cellStyle name="Normal 5 4 34 2" xfId="14360"/>
    <cellStyle name="Normal 5 4 34 3" xfId="19277"/>
    <cellStyle name="Normal 5 4 34 4" xfId="24320"/>
    <cellStyle name="Normal 5 4 34 5" xfId="29281"/>
    <cellStyle name="Normal 5 4 34 6" xfId="34139"/>
    <cellStyle name="Normal 5 4 34 7" xfId="38870"/>
    <cellStyle name="Normal 5 4 35" xfId="7718"/>
    <cellStyle name="Normal 5 4 35 2" xfId="14798"/>
    <cellStyle name="Normal 5 4 35 3" xfId="19915"/>
    <cellStyle name="Normal 5 4 35 4" xfId="24958"/>
    <cellStyle name="Normal 5 4 35 5" xfId="29919"/>
    <cellStyle name="Normal 5 4 35 6" xfId="34777"/>
    <cellStyle name="Normal 5 4 35 7" xfId="39508"/>
    <cellStyle name="Normal 5 4 36" xfId="7557"/>
    <cellStyle name="Normal 5 4 36 2" xfId="14636"/>
    <cellStyle name="Normal 5 4 36 3" xfId="19753"/>
    <cellStyle name="Normal 5 4 36 4" xfId="24796"/>
    <cellStyle name="Normal 5 4 36 5" xfId="29757"/>
    <cellStyle name="Normal 5 4 36 6" xfId="34615"/>
    <cellStyle name="Normal 5 4 36 7" xfId="39346"/>
    <cellStyle name="Normal 5 4 37" xfId="7498"/>
    <cellStyle name="Normal 5 4 37 2" xfId="14574"/>
    <cellStyle name="Normal 5 4 37 3" xfId="19691"/>
    <cellStyle name="Normal 5 4 37 4" xfId="24734"/>
    <cellStyle name="Normal 5 4 37 5" xfId="29695"/>
    <cellStyle name="Normal 5 4 37 6" xfId="34553"/>
    <cellStyle name="Normal 5 4 37 7" xfId="39284"/>
    <cellStyle name="Normal 5 4 38" xfId="7959"/>
    <cellStyle name="Normal 5 4 38 2" xfId="15039"/>
    <cellStyle name="Normal 5 4 38 3" xfId="20156"/>
    <cellStyle name="Normal 5 4 38 4" xfId="25199"/>
    <cellStyle name="Normal 5 4 38 5" xfId="30160"/>
    <cellStyle name="Normal 5 4 38 6" xfId="35018"/>
    <cellStyle name="Normal 5 4 38 7" xfId="39749"/>
    <cellStyle name="Normal 5 4 39" xfId="7703"/>
    <cellStyle name="Normal 5 4 39 2" xfId="14783"/>
    <cellStyle name="Normal 5 4 39 3" xfId="19900"/>
    <cellStyle name="Normal 5 4 39 4" xfId="24943"/>
    <cellStyle name="Normal 5 4 39 5" xfId="29904"/>
    <cellStyle name="Normal 5 4 39 6" xfId="34762"/>
    <cellStyle name="Normal 5 4 39 7" xfId="39493"/>
    <cellStyle name="Normal 5 4 4" xfId="4233"/>
    <cellStyle name="Normal 5 4 4 2" xfId="5897"/>
    <cellStyle name="Normal 5 4 4 3" xfId="17998"/>
    <cellStyle name="Normal 5 4 4 4" xfId="23041"/>
    <cellStyle name="Normal 5 4 4 5" xfId="28002"/>
    <cellStyle name="Normal 5 4 4 6" xfId="32860"/>
    <cellStyle name="Normal 5 4 4 7" xfId="37591"/>
    <cellStyle name="Normal 5 4 40" xfId="7934"/>
    <cellStyle name="Normal 5 4 40 2" xfId="15014"/>
    <cellStyle name="Normal 5 4 40 3" xfId="20131"/>
    <cellStyle name="Normal 5 4 40 4" xfId="25174"/>
    <cellStyle name="Normal 5 4 40 5" xfId="30135"/>
    <cellStyle name="Normal 5 4 40 6" xfId="34993"/>
    <cellStyle name="Normal 5 4 40 7" xfId="39724"/>
    <cellStyle name="Normal 5 4 41" xfId="7587"/>
    <cellStyle name="Normal 5 4 41 2" xfId="14667"/>
    <cellStyle name="Normal 5 4 41 3" xfId="19784"/>
    <cellStyle name="Normal 5 4 41 4" xfId="24827"/>
    <cellStyle name="Normal 5 4 41 5" xfId="29788"/>
    <cellStyle name="Normal 5 4 41 6" xfId="34646"/>
    <cellStyle name="Normal 5 4 41 7" xfId="39377"/>
    <cellStyle name="Normal 5 4 42" xfId="8005"/>
    <cellStyle name="Normal 5 4 42 2" xfId="15085"/>
    <cellStyle name="Normal 5 4 42 3" xfId="20202"/>
    <cellStyle name="Normal 5 4 42 4" xfId="25245"/>
    <cellStyle name="Normal 5 4 42 5" xfId="30206"/>
    <cellStyle name="Normal 5 4 42 6" xfId="35064"/>
    <cellStyle name="Normal 5 4 42 7" xfId="39795"/>
    <cellStyle name="Normal 5 4 43" xfId="8063"/>
    <cellStyle name="Normal 5 4 43 2" xfId="15143"/>
    <cellStyle name="Normal 5 4 43 3" xfId="20260"/>
    <cellStyle name="Normal 5 4 43 4" xfId="25303"/>
    <cellStyle name="Normal 5 4 43 5" xfId="30264"/>
    <cellStyle name="Normal 5 4 43 6" xfId="35122"/>
    <cellStyle name="Normal 5 4 43 7" xfId="39853"/>
    <cellStyle name="Normal 5 4 44" xfId="7690"/>
    <cellStyle name="Normal 5 4 44 2" xfId="14770"/>
    <cellStyle name="Normal 5 4 44 3" xfId="19887"/>
    <cellStyle name="Normal 5 4 44 4" xfId="24930"/>
    <cellStyle name="Normal 5 4 44 5" xfId="29891"/>
    <cellStyle name="Normal 5 4 44 6" xfId="34749"/>
    <cellStyle name="Normal 5 4 44 7" xfId="39480"/>
    <cellStyle name="Normal 5 4 45" xfId="7640"/>
    <cellStyle name="Normal 5 4 45 2" xfId="14720"/>
    <cellStyle name="Normal 5 4 45 3" xfId="19837"/>
    <cellStyle name="Normal 5 4 45 4" xfId="24880"/>
    <cellStyle name="Normal 5 4 45 5" xfId="29841"/>
    <cellStyle name="Normal 5 4 45 6" xfId="34699"/>
    <cellStyle name="Normal 5 4 45 7" xfId="39430"/>
    <cellStyle name="Normal 5 4 46" xfId="7779"/>
    <cellStyle name="Normal 5 4 46 2" xfId="14859"/>
    <cellStyle name="Normal 5 4 46 3" xfId="19976"/>
    <cellStyle name="Normal 5 4 46 4" xfId="25019"/>
    <cellStyle name="Normal 5 4 46 5" xfId="29980"/>
    <cellStyle name="Normal 5 4 46 6" xfId="34838"/>
    <cellStyle name="Normal 5 4 46 7" xfId="39569"/>
    <cellStyle name="Normal 5 4 47" xfId="7528"/>
    <cellStyle name="Normal 5 4 47 2" xfId="14606"/>
    <cellStyle name="Normal 5 4 47 3" xfId="19723"/>
    <cellStyle name="Normal 5 4 47 4" xfId="24766"/>
    <cellStyle name="Normal 5 4 47 5" xfId="29727"/>
    <cellStyle name="Normal 5 4 47 6" xfId="34585"/>
    <cellStyle name="Normal 5 4 47 7" xfId="39316"/>
    <cellStyle name="Normal 5 4 48" xfId="8043"/>
    <cellStyle name="Normal 5 4 48 2" xfId="15123"/>
    <cellStyle name="Normal 5 4 48 3" xfId="20240"/>
    <cellStyle name="Normal 5 4 48 4" xfId="25283"/>
    <cellStyle name="Normal 5 4 48 5" xfId="30244"/>
    <cellStyle name="Normal 5 4 48 6" xfId="35102"/>
    <cellStyle name="Normal 5 4 48 7" xfId="39833"/>
    <cellStyle name="Normal 5 4 49" xfId="8498"/>
    <cellStyle name="Normal 5 4 49 2" xfId="15579"/>
    <cellStyle name="Normal 5 4 49 3" xfId="20696"/>
    <cellStyle name="Normal 5 4 49 4" xfId="25739"/>
    <cellStyle name="Normal 5 4 49 5" xfId="30700"/>
    <cellStyle name="Normal 5 4 49 6" xfId="35558"/>
    <cellStyle name="Normal 5 4 49 7" xfId="40289"/>
    <cellStyle name="Normal 5 4 5" xfId="4217"/>
    <cellStyle name="Normal 5 4 5 2" xfId="5832"/>
    <cellStyle name="Normal 5 4 5 3" xfId="17931"/>
    <cellStyle name="Normal 5 4 5 4" xfId="22974"/>
    <cellStyle name="Normal 5 4 5 5" xfId="27935"/>
    <cellStyle name="Normal 5 4 5 6" xfId="32793"/>
    <cellStyle name="Normal 5 4 5 7" xfId="37524"/>
    <cellStyle name="Normal 5 4 50" xfId="8340"/>
    <cellStyle name="Normal 5 4 50 2" xfId="15421"/>
    <cellStyle name="Normal 5 4 50 3" xfId="20538"/>
    <cellStyle name="Normal 5 4 50 4" xfId="25581"/>
    <cellStyle name="Normal 5 4 50 5" xfId="30542"/>
    <cellStyle name="Normal 5 4 50 6" xfId="35400"/>
    <cellStyle name="Normal 5 4 50 7" xfId="40131"/>
    <cellStyle name="Normal 5 4 51" xfId="8271"/>
    <cellStyle name="Normal 5 4 51 2" xfId="15352"/>
    <cellStyle name="Normal 5 4 51 3" xfId="20469"/>
    <cellStyle name="Normal 5 4 51 4" xfId="25512"/>
    <cellStyle name="Normal 5 4 51 5" xfId="30473"/>
    <cellStyle name="Normal 5 4 51 6" xfId="35331"/>
    <cellStyle name="Normal 5 4 51 7" xfId="40062"/>
    <cellStyle name="Normal 5 4 52" xfId="8758"/>
    <cellStyle name="Normal 5 4 52 2" xfId="15839"/>
    <cellStyle name="Normal 5 4 52 3" xfId="20956"/>
    <cellStyle name="Normal 5 4 52 4" xfId="25999"/>
    <cellStyle name="Normal 5 4 52 5" xfId="30960"/>
    <cellStyle name="Normal 5 4 52 6" xfId="35818"/>
    <cellStyle name="Normal 5 4 52 7" xfId="40549"/>
    <cellStyle name="Normal 5 4 53" xfId="8487"/>
    <cellStyle name="Normal 5 4 53 2" xfId="15568"/>
    <cellStyle name="Normal 5 4 53 3" xfId="20685"/>
    <cellStyle name="Normal 5 4 53 4" xfId="25728"/>
    <cellStyle name="Normal 5 4 53 5" xfId="30689"/>
    <cellStyle name="Normal 5 4 53 6" xfId="35547"/>
    <cellStyle name="Normal 5 4 53 7" xfId="40278"/>
    <cellStyle name="Normal 5 4 54" xfId="8730"/>
    <cellStyle name="Normal 5 4 54 2" xfId="15811"/>
    <cellStyle name="Normal 5 4 54 3" xfId="20928"/>
    <cellStyle name="Normal 5 4 54 4" xfId="25971"/>
    <cellStyle name="Normal 5 4 54 5" xfId="30932"/>
    <cellStyle name="Normal 5 4 54 6" xfId="35790"/>
    <cellStyle name="Normal 5 4 54 7" xfId="40521"/>
    <cellStyle name="Normal 5 4 55" xfId="8364"/>
    <cellStyle name="Normal 5 4 55 2" xfId="15445"/>
    <cellStyle name="Normal 5 4 55 3" xfId="20562"/>
    <cellStyle name="Normal 5 4 55 4" xfId="25605"/>
    <cellStyle name="Normal 5 4 55 5" xfId="30566"/>
    <cellStyle name="Normal 5 4 55 6" xfId="35424"/>
    <cellStyle name="Normal 5 4 55 7" xfId="40155"/>
    <cellStyle name="Normal 5 4 56" xfId="8458"/>
    <cellStyle name="Normal 5 4 56 2" xfId="15539"/>
    <cellStyle name="Normal 5 4 56 3" xfId="20656"/>
    <cellStyle name="Normal 5 4 56 4" xfId="25699"/>
    <cellStyle name="Normal 5 4 56 5" xfId="30660"/>
    <cellStyle name="Normal 5 4 56 6" xfId="35518"/>
    <cellStyle name="Normal 5 4 56 7" xfId="40249"/>
    <cellStyle name="Normal 5 4 57" xfId="8697"/>
    <cellStyle name="Normal 5 4 57 2" xfId="15778"/>
    <cellStyle name="Normal 5 4 57 3" xfId="20895"/>
    <cellStyle name="Normal 5 4 57 4" xfId="25938"/>
    <cellStyle name="Normal 5 4 57 5" xfId="30899"/>
    <cellStyle name="Normal 5 4 57 6" xfId="35757"/>
    <cellStyle name="Normal 5 4 57 7" xfId="40488"/>
    <cellStyle name="Normal 5 4 58" xfId="8547"/>
    <cellStyle name="Normal 5 4 58 2" xfId="15628"/>
    <cellStyle name="Normal 5 4 58 3" xfId="20745"/>
    <cellStyle name="Normal 5 4 58 4" xfId="25788"/>
    <cellStyle name="Normal 5 4 58 5" xfId="30749"/>
    <cellStyle name="Normal 5 4 58 6" xfId="35607"/>
    <cellStyle name="Normal 5 4 58 7" xfId="40338"/>
    <cellStyle name="Normal 5 4 59" xfId="8241"/>
    <cellStyle name="Normal 5 4 59 2" xfId="15322"/>
    <cellStyle name="Normal 5 4 59 3" xfId="20439"/>
    <cellStyle name="Normal 5 4 59 4" xfId="25482"/>
    <cellStyle name="Normal 5 4 59 5" xfId="30443"/>
    <cellStyle name="Normal 5 4 59 6" xfId="35301"/>
    <cellStyle name="Normal 5 4 59 7" xfId="40032"/>
    <cellStyle name="Normal 5 4 6" xfId="4398"/>
    <cellStyle name="Normal 5 4 6 2" xfId="6349"/>
    <cellStyle name="Normal 5 4 6 3" xfId="18457"/>
    <cellStyle name="Normal 5 4 6 4" xfId="23500"/>
    <cellStyle name="Normal 5 4 6 5" xfId="28461"/>
    <cellStyle name="Normal 5 4 6 6" xfId="33319"/>
    <cellStyle name="Normal 5 4 6 7" xfId="38050"/>
    <cellStyle name="Normal 5 4 60" xfId="8929"/>
    <cellStyle name="Normal 5 4 60 2" xfId="16010"/>
    <cellStyle name="Normal 5 4 60 3" xfId="21127"/>
    <cellStyle name="Normal 5 4 60 4" xfId="26170"/>
    <cellStyle name="Normal 5 4 60 5" xfId="31131"/>
    <cellStyle name="Normal 5 4 60 6" xfId="35989"/>
    <cellStyle name="Normal 5 4 60 7" xfId="40720"/>
    <cellStyle name="Normal 5 4 61" xfId="8313"/>
    <cellStyle name="Normal 5 4 61 2" xfId="15394"/>
    <cellStyle name="Normal 5 4 61 3" xfId="20511"/>
    <cellStyle name="Normal 5 4 61 4" xfId="25554"/>
    <cellStyle name="Normal 5 4 61 5" xfId="30515"/>
    <cellStyle name="Normal 5 4 61 6" xfId="35373"/>
    <cellStyle name="Normal 5 4 61 7" xfId="40104"/>
    <cellStyle name="Normal 5 4 62" xfId="8425"/>
    <cellStyle name="Normal 5 4 62 2" xfId="15506"/>
    <cellStyle name="Normal 5 4 62 3" xfId="20623"/>
    <cellStyle name="Normal 5 4 62 4" xfId="25666"/>
    <cellStyle name="Normal 5 4 62 5" xfId="30627"/>
    <cellStyle name="Normal 5 4 62 6" xfId="35485"/>
    <cellStyle name="Normal 5 4 62 7" xfId="40216"/>
    <cellStyle name="Normal 5 4 63" xfId="8310"/>
    <cellStyle name="Normal 5 4 63 2" xfId="15391"/>
    <cellStyle name="Normal 5 4 63 3" xfId="20508"/>
    <cellStyle name="Normal 5 4 63 4" xfId="25551"/>
    <cellStyle name="Normal 5 4 63 5" xfId="30512"/>
    <cellStyle name="Normal 5 4 63 6" xfId="35370"/>
    <cellStyle name="Normal 5 4 63 7" xfId="40101"/>
    <cellStyle name="Normal 5 4 64" xfId="9281"/>
    <cellStyle name="Normal 5 4 64 2" xfId="16362"/>
    <cellStyle name="Normal 5 4 64 3" xfId="21479"/>
    <cellStyle name="Normal 5 4 64 4" xfId="26522"/>
    <cellStyle name="Normal 5 4 64 5" xfId="31483"/>
    <cellStyle name="Normal 5 4 64 6" xfId="36341"/>
    <cellStyle name="Normal 5 4 64 7" xfId="41072"/>
    <cellStyle name="Normal 5 4 65" xfId="9142"/>
    <cellStyle name="Normal 5 4 65 2" xfId="16223"/>
    <cellStyle name="Normal 5 4 65 3" xfId="21340"/>
    <cellStyle name="Normal 5 4 65 4" xfId="26383"/>
    <cellStyle name="Normal 5 4 65 5" xfId="31344"/>
    <cellStyle name="Normal 5 4 65 6" xfId="36202"/>
    <cellStyle name="Normal 5 4 65 7" xfId="40933"/>
    <cellStyle name="Normal 5 4 66" xfId="9090"/>
    <cellStyle name="Normal 5 4 66 2" xfId="16171"/>
    <cellStyle name="Normal 5 4 66 3" xfId="21288"/>
    <cellStyle name="Normal 5 4 66 4" xfId="26331"/>
    <cellStyle name="Normal 5 4 66 5" xfId="31292"/>
    <cellStyle name="Normal 5 4 66 6" xfId="36150"/>
    <cellStyle name="Normal 5 4 66 7" xfId="40881"/>
    <cellStyle name="Normal 5 4 67" xfId="9494"/>
    <cellStyle name="Normal 5 4 67 2" xfId="16575"/>
    <cellStyle name="Normal 5 4 67 3" xfId="21692"/>
    <cellStyle name="Normal 5 4 67 4" xfId="26735"/>
    <cellStyle name="Normal 5 4 67 5" xfId="31696"/>
    <cellStyle name="Normal 5 4 67 6" xfId="36554"/>
    <cellStyle name="Normal 5 4 67 7" xfId="41285"/>
    <cellStyle name="Normal 5 4 68" xfId="9267"/>
    <cellStyle name="Normal 5 4 68 2" xfId="16348"/>
    <cellStyle name="Normal 5 4 68 3" xfId="21465"/>
    <cellStyle name="Normal 5 4 68 4" xfId="26508"/>
    <cellStyle name="Normal 5 4 68 5" xfId="31469"/>
    <cellStyle name="Normal 5 4 68 6" xfId="36327"/>
    <cellStyle name="Normal 5 4 68 7" xfId="41058"/>
    <cellStyle name="Normal 5 4 69" xfId="9475"/>
    <cellStyle name="Normal 5 4 69 2" xfId="16556"/>
    <cellStyle name="Normal 5 4 69 3" xfId="21673"/>
    <cellStyle name="Normal 5 4 69 4" xfId="26716"/>
    <cellStyle name="Normal 5 4 69 5" xfId="31677"/>
    <cellStyle name="Normal 5 4 69 6" xfId="36535"/>
    <cellStyle name="Normal 5 4 69 7" xfId="41266"/>
    <cellStyle name="Normal 5 4 7" xfId="4454"/>
    <cellStyle name="Normal 5 4 7 2" xfId="6060"/>
    <cellStyle name="Normal 5 4 7 3" xfId="18164"/>
    <cellStyle name="Normal 5 4 7 4" xfId="23207"/>
    <cellStyle name="Normal 5 4 7 5" xfId="28168"/>
    <cellStyle name="Normal 5 4 7 6" xfId="33026"/>
    <cellStyle name="Normal 5 4 7 7" xfId="37757"/>
    <cellStyle name="Normal 5 4 70" xfId="9167"/>
    <cellStyle name="Normal 5 4 70 2" xfId="16248"/>
    <cellStyle name="Normal 5 4 70 3" xfId="21365"/>
    <cellStyle name="Normal 5 4 70 4" xfId="26408"/>
    <cellStyle name="Normal 5 4 70 5" xfId="31369"/>
    <cellStyle name="Normal 5 4 70 6" xfId="36227"/>
    <cellStyle name="Normal 5 4 70 7" xfId="40958"/>
    <cellStyle name="Normal 5 4 71" xfId="9531"/>
    <cellStyle name="Normal 5 4 71 2" xfId="16612"/>
    <cellStyle name="Normal 5 4 71 3" xfId="21729"/>
    <cellStyle name="Normal 5 4 71 4" xfId="26772"/>
    <cellStyle name="Normal 5 4 71 5" xfId="31733"/>
    <cellStyle name="Normal 5 4 71 6" xfId="36591"/>
    <cellStyle name="Normal 5 4 71 7" xfId="41322"/>
    <cellStyle name="Normal 5 4 72" xfId="9577"/>
    <cellStyle name="Normal 5 4 72 2" xfId="16658"/>
    <cellStyle name="Normal 5 4 72 3" xfId="21775"/>
    <cellStyle name="Normal 5 4 72 4" xfId="26818"/>
    <cellStyle name="Normal 5 4 72 5" xfId="31779"/>
    <cellStyle name="Normal 5 4 72 6" xfId="36637"/>
    <cellStyle name="Normal 5 4 72 7" xfId="41368"/>
    <cellStyle name="Normal 5 4 73" xfId="9259"/>
    <cellStyle name="Normal 5 4 73 2" xfId="16340"/>
    <cellStyle name="Normal 5 4 73 3" xfId="21457"/>
    <cellStyle name="Normal 5 4 73 4" xfId="26500"/>
    <cellStyle name="Normal 5 4 73 5" xfId="31461"/>
    <cellStyle name="Normal 5 4 73 6" xfId="36319"/>
    <cellStyle name="Normal 5 4 73 7" xfId="41050"/>
    <cellStyle name="Normal 5 4 74" xfId="9212"/>
    <cellStyle name="Normal 5 4 74 2" xfId="16293"/>
    <cellStyle name="Normal 5 4 74 3" xfId="21410"/>
    <cellStyle name="Normal 5 4 74 4" xfId="26453"/>
    <cellStyle name="Normal 5 4 74 5" xfId="31414"/>
    <cellStyle name="Normal 5 4 74 6" xfId="36272"/>
    <cellStyle name="Normal 5 4 74 7" xfId="41003"/>
    <cellStyle name="Normal 5 4 75" xfId="9337"/>
    <cellStyle name="Normal 5 4 75 2" xfId="16418"/>
    <cellStyle name="Normal 5 4 75 3" xfId="21535"/>
    <cellStyle name="Normal 5 4 75 4" xfId="26578"/>
    <cellStyle name="Normal 5 4 75 5" xfId="31539"/>
    <cellStyle name="Normal 5 4 75 6" xfId="36397"/>
    <cellStyle name="Normal 5 4 75 7" xfId="41128"/>
    <cellStyle name="Normal 5 4 76" xfId="9828"/>
    <cellStyle name="Normal 5 4 76 2" xfId="16909"/>
    <cellStyle name="Normal 5 4 76 3" xfId="22026"/>
    <cellStyle name="Normal 5 4 76 4" xfId="27069"/>
    <cellStyle name="Normal 5 4 76 5" xfId="32030"/>
    <cellStyle name="Normal 5 4 76 6" xfId="36888"/>
    <cellStyle name="Normal 5 4 76 7" xfId="41619"/>
    <cellStyle name="Normal 5 4 77" xfId="9761"/>
    <cellStyle name="Normal 5 4 77 2" xfId="16842"/>
    <cellStyle name="Normal 5 4 77 3" xfId="21959"/>
    <cellStyle name="Normal 5 4 77 4" xfId="27002"/>
    <cellStyle name="Normal 5 4 77 5" xfId="31963"/>
    <cellStyle name="Normal 5 4 77 6" xfId="36821"/>
    <cellStyle name="Normal 5 4 77 7" xfId="41552"/>
    <cellStyle name="Normal 5 4 78" xfId="9734"/>
    <cellStyle name="Normal 5 4 78 2" xfId="16815"/>
    <cellStyle name="Normal 5 4 78 3" xfId="21932"/>
    <cellStyle name="Normal 5 4 78 4" xfId="26975"/>
    <cellStyle name="Normal 5 4 78 5" xfId="31936"/>
    <cellStyle name="Normal 5 4 78 6" xfId="36794"/>
    <cellStyle name="Normal 5 4 78 7" xfId="41525"/>
    <cellStyle name="Normal 5 4 79" xfId="9949"/>
    <cellStyle name="Normal 5 4 79 2" xfId="17030"/>
    <cellStyle name="Normal 5 4 79 3" xfId="22147"/>
    <cellStyle name="Normal 5 4 79 4" xfId="27190"/>
    <cellStyle name="Normal 5 4 79 5" xfId="32151"/>
    <cellStyle name="Normal 5 4 79 6" xfId="37009"/>
    <cellStyle name="Normal 5 4 79 7" xfId="41740"/>
    <cellStyle name="Normal 5 4 8" xfId="4542"/>
    <cellStyle name="Normal 5 4 8 2" xfId="6318"/>
    <cellStyle name="Normal 5 4 8 3" xfId="18426"/>
    <cellStyle name="Normal 5 4 8 4" xfId="23469"/>
    <cellStyle name="Normal 5 4 8 5" xfId="28430"/>
    <cellStyle name="Normal 5 4 8 6" xfId="33288"/>
    <cellStyle name="Normal 5 4 8 7" xfId="38019"/>
    <cellStyle name="Normal 5 4 80" xfId="9820"/>
    <cellStyle name="Normal 5 4 80 2" xfId="16901"/>
    <cellStyle name="Normal 5 4 80 3" xfId="22018"/>
    <cellStyle name="Normal 5 4 80 4" xfId="27061"/>
    <cellStyle name="Normal 5 4 80 5" xfId="32022"/>
    <cellStyle name="Normal 5 4 80 6" xfId="36880"/>
    <cellStyle name="Normal 5 4 80 7" xfId="41611"/>
    <cellStyle name="Normal 5 4 81" xfId="9938"/>
    <cellStyle name="Normal 5 4 81 2" xfId="17019"/>
    <cellStyle name="Normal 5 4 81 3" xfId="22136"/>
    <cellStyle name="Normal 5 4 81 4" xfId="27179"/>
    <cellStyle name="Normal 5 4 81 5" xfId="32140"/>
    <cellStyle name="Normal 5 4 81 6" xfId="36998"/>
    <cellStyle name="Normal 5 4 81 7" xfId="41729"/>
    <cellStyle name="Normal 5 4 82" xfId="10158"/>
    <cellStyle name="Normal 5 4 82 2" xfId="17239"/>
    <cellStyle name="Normal 5 4 82 3" xfId="22356"/>
    <cellStyle name="Normal 5 4 82 4" xfId="27399"/>
    <cellStyle name="Normal 5 4 82 5" xfId="32360"/>
    <cellStyle name="Normal 5 4 82 6" xfId="37218"/>
    <cellStyle name="Normal 5 4 82 7" xfId="41949"/>
    <cellStyle name="Normal 5 4 83" xfId="10091"/>
    <cellStyle name="Normal 5 4 83 2" xfId="17172"/>
    <cellStyle name="Normal 5 4 83 3" xfId="22289"/>
    <cellStyle name="Normal 5 4 83 4" xfId="27332"/>
    <cellStyle name="Normal 5 4 83 5" xfId="32293"/>
    <cellStyle name="Normal 5 4 83 6" xfId="37151"/>
    <cellStyle name="Normal 5 4 83 7" xfId="41882"/>
    <cellStyle name="Normal 5 4 84" xfId="10064"/>
    <cellStyle name="Normal 5 4 84 2" xfId="17145"/>
    <cellStyle name="Normal 5 4 84 3" xfId="22262"/>
    <cellStyle name="Normal 5 4 84 4" xfId="27305"/>
    <cellStyle name="Normal 5 4 84 5" xfId="32266"/>
    <cellStyle name="Normal 5 4 84 6" xfId="37124"/>
    <cellStyle name="Normal 5 4 84 7" xfId="41855"/>
    <cellStyle name="Normal 5 4 85" xfId="10279"/>
    <cellStyle name="Normal 5 4 85 2" xfId="17360"/>
    <cellStyle name="Normal 5 4 85 3" xfId="22477"/>
    <cellStyle name="Normal 5 4 85 4" xfId="27520"/>
    <cellStyle name="Normal 5 4 85 5" xfId="32481"/>
    <cellStyle name="Normal 5 4 85 6" xfId="37339"/>
    <cellStyle name="Normal 5 4 85 7" xfId="42070"/>
    <cellStyle name="Normal 5 4 86" xfId="10150"/>
    <cellStyle name="Normal 5 4 86 2" xfId="17231"/>
    <cellStyle name="Normal 5 4 86 3" xfId="22348"/>
    <cellStyle name="Normal 5 4 86 4" xfId="27391"/>
    <cellStyle name="Normal 5 4 86 5" xfId="32352"/>
    <cellStyle name="Normal 5 4 86 6" xfId="37210"/>
    <cellStyle name="Normal 5 4 86 7" xfId="41941"/>
    <cellStyle name="Normal 5 4 87" xfId="10268"/>
    <cellStyle name="Normal 5 4 87 2" xfId="17349"/>
    <cellStyle name="Normal 5 4 87 3" xfId="22466"/>
    <cellStyle name="Normal 5 4 87 4" xfId="27509"/>
    <cellStyle name="Normal 5 4 87 5" xfId="32470"/>
    <cellStyle name="Normal 5 4 87 6" xfId="37328"/>
    <cellStyle name="Normal 5 4 87 7" xfId="42059"/>
    <cellStyle name="Normal 5 4 88" xfId="12518"/>
    <cellStyle name="Normal 5 4 89" xfId="12590"/>
    <cellStyle name="Normal 5 4 9" xfId="4513"/>
    <cellStyle name="Normal 5 4 9 2" xfId="5930"/>
    <cellStyle name="Normal 5 4 9 3" xfId="18032"/>
    <cellStyle name="Normal 5 4 9 4" xfId="23075"/>
    <cellStyle name="Normal 5 4 9 5" xfId="28036"/>
    <cellStyle name="Normal 5 4 9 6" xfId="32894"/>
    <cellStyle name="Normal 5 4 9 7" xfId="37625"/>
    <cellStyle name="Normal 5 4 90" xfId="12031"/>
    <cellStyle name="Normal 5 4 91" xfId="12896"/>
    <cellStyle name="Normal 5 4 92" xfId="13266"/>
    <cellStyle name="Normal 5 4 93" xfId="12438"/>
    <cellStyle name="Normal 5 5" xfId="2464"/>
    <cellStyle name="Normal 5 5 2" xfId="13011"/>
    <cellStyle name="Normal 5 5 3" xfId="13798"/>
    <cellStyle name="Normal 5 5 4" xfId="17539"/>
    <cellStyle name="Normal 5 5 5" xfId="22638"/>
    <cellStyle name="Normal 5 5 6" xfId="27665"/>
    <cellStyle name="Normal 5 5 7" xfId="32613"/>
    <cellStyle name="Normal 5 6" xfId="10396"/>
    <cellStyle name="Normal 5 7" xfId="10709"/>
    <cellStyle name="Normal 5 8" xfId="10993"/>
    <cellStyle name="Normal 5 9" xfId="11267"/>
    <cellStyle name="Normal 50" xfId="279"/>
    <cellStyle name="Normal 50 10" xfId="22696"/>
    <cellStyle name="Normal 50 2" xfId="10490"/>
    <cellStyle name="Normal 50 3" xfId="10803"/>
    <cellStyle name="Normal 50 4" xfId="11087"/>
    <cellStyle name="Normal 50 5" xfId="11479"/>
    <cellStyle name="Normal 50 6" xfId="13473"/>
    <cellStyle name="Normal 50 7" xfId="12341"/>
    <cellStyle name="Normal 50 8" xfId="13868"/>
    <cellStyle name="Normal 50 9" xfId="17603"/>
    <cellStyle name="Normal 51" xfId="284"/>
    <cellStyle name="Normal 51 10" xfId="13255"/>
    <cellStyle name="Normal 51 2" xfId="10495"/>
    <cellStyle name="Normal 51 3" xfId="10808"/>
    <cellStyle name="Normal 51 4" xfId="11092"/>
    <cellStyle name="Normal 51 5" xfId="11484"/>
    <cellStyle name="Normal 51 6" xfId="12743"/>
    <cellStyle name="Normal 51 7" xfId="12725"/>
    <cellStyle name="Normal 51 8" xfId="13558"/>
    <cellStyle name="Normal 51 9" xfId="12449"/>
    <cellStyle name="Normal 52" xfId="285"/>
    <cellStyle name="Normal 52 10" xfId="11294"/>
    <cellStyle name="Normal 52 2" xfId="10496"/>
    <cellStyle name="Normal 52 3" xfId="10809"/>
    <cellStyle name="Normal 52 4" xfId="11093"/>
    <cellStyle name="Normal 52 5" xfId="11485"/>
    <cellStyle name="Normal 52 6" xfId="13614"/>
    <cellStyle name="Normal 52 7" xfId="13493"/>
    <cellStyle name="Normal 52 8" xfId="13277"/>
    <cellStyle name="Normal 52 9" xfId="12977"/>
    <cellStyle name="Normal 53" xfId="287"/>
    <cellStyle name="Normal 53 10" xfId="22879"/>
    <cellStyle name="Normal 53 2" xfId="10498"/>
    <cellStyle name="Normal 53 3" xfId="10811"/>
    <cellStyle name="Normal 53 4" xfId="11095"/>
    <cellStyle name="Normal 53 5" xfId="11487"/>
    <cellStyle name="Normal 53 6" xfId="13474"/>
    <cellStyle name="Normal 53 7" xfId="12098"/>
    <cellStyle name="Normal 53 8" xfId="14110"/>
    <cellStyle name="Normal 53 9" xfId="17820"/>
    <cellStyle name="Normal 54" xfId="289"/>
    <cellStyle name="Normal 54 10" xfId="12948"/>
    <cellStyle name="Normal 54 2" xfId="10500"/>
    <cellStyle name="Normal 54 3" xfId="10813"/>
    <cellStyle name="Normal 54 4" xfId="11097"/>
    <cellStyle name="Normal 54 5" xfId="11489"/>
    <cellStyle name="Normal 54 6" xfId="12419"/>
    <cellStyle name="Normal 54 7" xfId="11801"/>
    <cellStyle name="Normal 54 8" xfId="13084"/>
    <cellStyle name="Normal 54 9" xfId="13274"/>
    <cellStyle name="Normal 55" xfId="291"/>
    <cellStyle name="Normal 55 10" xfId="27695"/>
    <cellStyle name="Normal 55 2" xfId="10502"/>
    <cellStyle name="Normal 55 3" xfId="10815"/>
    <cellStyle name="Normal 55 4" xfId="11099"/>
    <cellStyle name="Normal 55 5" xfId="11491"/>
    <cellStyle name="Normal 55 6" xfId="12583"/>
    <cellStyle name="Normal 55 7" xfId="13840"/>
    <cellStyle name="Normal 55 8" xfId="17580"/>
    <cellStyle name="Normal 55 9" xfId="22675"/>
    <cellStyle name="Normal 56" xfId="293"/>
    <cellStyle name="Normal 56 10" xfId="17721"/>
    <cellStyle name="Normal 56 2" xfId="10504"/>
    <cellStyle name="Normal 56 3" xfId="10817"/>
    <cellStyle name="Normal 56 4" xfId="11101"/>
    <cellStyle name="Normal 56 5" xfId="11493"/>
    <cellStyle name="Normal 56 6" xfId="12535"/>
    <cellStyle name="Normal 56 7" xfId="12125"/>
    <cellStyle name="Normal 56 8" xfId="11724"/>
    <cellStyle name="Normal 56 9" xfId="14001"/>
    <cellStyle name="Normal 57" xfId="331"/>
    <cellStyle name="Normal 57 10" xfId="13100"/>
    <cellStyle name="Normal 57 2" xfId="10542"/>
    <cellStyle name="Normal 57 3" xfId="10855"/>
    <cellStyle name="Normal 57 4" xfId="11139"/>
    <cellStyle name="Normal 57 5" xfId="11531"/>
    <cellStyle name="Normal 57 6" xfId="12050"/>
    <cellStyle name="Normal 57 7" xfId="13186"/>
    <cellStyle name="Normal 57 8" xfId="11930"/>
    <cellStyle name="Normal 57 9" xfId="12192"/>
    <cellStyle name="Normal 58" xfId="333"/>
    <cellStyle name="Normal 58 10" xfId="12786"/>
    <cellStyle name="Normal 58 2" xfId="10544"/>
    <cellStyle name="Normal 58 3" xfId="10857"/>
    <cellStyle name="Normal 58 4" xfId="11141"/>
    <cellStyle name="Normal 58 5" xfId="11533"/>
    <cellStyle name="Normal 58 6" xfId="11312"/>
    <cellStyle name="Normal 58 7" xfId="13136"/>
    <cellStyle name="Normal 58 8" xfId="13481"/>
    <cellStyle name="Normal 58 9" xfId="11912"/>
    <cellStyle name="Normal 59" xfId="334"/>
    <cellStyle name="Normal 59 10" xfId="27654"/>
    <cellStyle name="Normal 59 2" xfId="10545"/>
    <cellStyle name="Normal 59 3" xfId="10858"/>
    <cellStyle name="Normal 59 4" xfId="11142"/>
    <cellStyle name="Normal 59 5" xfId="11534"/>
    <cellStyle name="Normal 59 6" xfId="12054"/>
    <cellStyle name="Normal 59 7" xfId="13778"/>
    <cellStyle name="Normal 59 8" xfId="17521"/>
    <cellStyle name="Normal 59 9" xfId="22625"/>
    <cellStyle name="Normal 6" xfId="53"/>
    <cellStyle name="Normal 6 10" xfId="10384"/>
    <cellStyle name="Normal 6 11" xfId="10697"/>
    <cellStyle name="Normal 6 12" xfId="10981"/>
    <cellStyle name="Normal 6 13" xfId="11268"/>
    <cellStyle name="Normal 6 14" xfId="12983"/>
    <cellStyle name="Normal 6 15" xfId="11943"/>
    <cellStyle name="Normal 6 16" xfId="14029"/>
    <cellStyle name="Normal 6 17" xfId="17747"/>
    <cellStyle name="Normal 6 18" xfId="22817"/>
    <cellStyle name="Normal 6 2" xfId="1296"/>
    <cellStyle name="Normal 6 2 10" xfId="4635"/>
    <cellStyle name="Normal 6 2 10 2" xfId="6007"/>
    <cellStyle name="Normal 6 2 10 3" xfId="18110"/>
    <cellStyle name="Normal 6 2 10 4" xfId="23153"/>
    <cellStyle name="Normal 6 2 10 5" xfId="28114"/>
    <cellStyle name="Normal 6 2 10 6" xfId="32972"/>
    <cellStyle name="Normal 6 2 10 7" xfId="37703"/>
    <cellStyle name="Normal 6 2 11" xfId="4503"/>
    <cellStyle name="Normal 6 2 11 2" xfId="6062"/>
    <cellStyle name="Normal 6 2 11 3" xfId="18166"/>
    <cellStyle name="Normal 6 2 11 4" xfId="23209"/>
    <cellStyle name="Normal 6 2 11 5" xfId="28170"/>
    <cellStyle name="Normal 6 2 11 6" xfId="33028"/>
    <cellStyle name="Normal 6 2 11 7" xfId="37759"/>
    <cellStyle name="Normal 6 2 12" xfId="4666"/>
    <cellStyle name="Normal 6 2 12 2" xfId="5927"/>
    <cellStyle name="Normal 6 2 12 3" xfId="18029"/>
    <cellStyle name="Normal 6 2 12 4" xfId="23072"/>
    <cellStyle name="Normal 6 2 12 5" xfId="28033"/>
    <cellStyle name="Normal 6 2 12 6" xfId="32891"/>
    <cellStyle name="Normal 6 2 12 7" xfId="37622"/>
    <cellStyle name="Normal 6 2 13" xfId="4786"/>
    <cellStyle name="Normal 6 2 13 2" xfId="6089"/>
    <cellStyle name="Normal 6 2 13 3" xfId="18193"/>
    <cellStyle name="Normal 6 2 13 4" xfId="23236"/>
    <cellStyle name="Normal 6 2 13 5" xfId="28197"/>
    <cellStyle name="Normal 6 2 13 6" xfId="33055"/>
    <cellStyle name="Normal 6 2 13 7" xfId="37786"/>
    <cellStyle name="Normal 6 2 14" xfId="4927"/>
    <cellStyle name="Normal 6 2 14 2" xfId="5816"/>
    <cellStyle name="Normal 6 2 14 3" xfId="17914"/>
    <cellStyle name="Normal 6 2 14 4" xfId="22957"/>
    <cellStyle name="Normal 6 2 14 5" xfId="27918"/>
    <cellStyle name="Normal 6 2 14 6" xfId="32776"/>
    <cellStyle name="Normal 6 2 14 7" xfId="37507"/>
    <cellStyle name="Normal 6 2 15" xfId="4833"/>
    <cellStyle name="Normal 6 2 15 2" xfId="6382"/>
    <cellStyle name="Normal 6 2 15 3" xfId="18492"/>
    <cellStyle name="Normal 6 2 15 4" xfId="23535"/>
    <cellStyle name="Normal 6 2 15 5" xfId="28496"/>
    <cellStyle name="Normal 6 2 15 6" xfId="33354"/>
    <cellStyle name="Normal 6 2 15 7" xfId="38085"/>
    <cellStyle name="Normal 6 2 16" xfId="4876"/>
    <cellStyle name="Normal 6 2 16 2" xfId="5922"/>
    <cellStyle name="Normal 6 2 16 3" xfId="18024"/>
    <cellStyle name="Normal 6 2 16 4" xfId="23067"/>
    <cellStyle name="Normal 6 2 16 5" xfId="28028"/>
    <cellStyle name="Normal 6 2 16 6" xfId="32886"/>
    <cellStyle name="Normal 6 2 16 7" xfId="37617"/>
    <cellStyle name="Normal 6 2 17" xfId="5003"/>
    <cellStyle name="Normal 6 2 17 2" xfId="6450"/>
    <cellStyle name="Normal 6 2 17 3" xfId="18560"/>
    <cellStyle name="Normal 6 2 17 4" xfId="23603"/>
    <cellStyle name="Normal 6 2 17 5" xfId="28564"/>
    <cellStyle name="Normal 6 2 17 6" xfId="33422"/>
    <cellStyle name="Normal 6 2 17 7" xfId="38153"/>
    <cellStyle name="Normal 6 2 18" xfId="5146"/>
    <cellStyle name="Normal 6 2 18 2" xfId="6153"/>
    <cellStyle name="Normal 6 2 18 3" xfId="18257"/>
    <cellStyle name="Normal 6 2 18 4" xfId="23300"/>
    <cellStyle name="Normal 6 2 18 5" xfId="28261"/>
    <cellStyle name="Normal 6 2 18 6" xfId="33119"/>
    <cellStyle name="Normal 6 2 18 7" xfId="37850"/>
    <cellStyle name="Normal 6 2 19" xfId="4983"/>
    <cellStyle name="Normal 6 2 19 2" xfId="6234"/>
    <cellStyle name="Normal 6 2 19 3" xfId="18338"/>
    <cellStyle name="Normal 6 2 19 4" xfId="23381"/>
    <cellStyle name="Normal 6 2 19 5" xfId="28342"/>
    <cellStyle name="Normal 6 2 19 6" xfId="33200"/>
    <cellStyle name="Normal 6 2 19 7" xfId="37931"/>
    <cellStyle name="Normal 6 2 2" xfId="1302"/>
    <cellStyle name="Normal 6 2 2 10" xfId="4596"/>
    <cellStyle name="Normal 6 2 2 10 2" xfId="6388"/>
    <cellStyle name="Normal 6 2 2 10 3" xfId="18498"/>
    <cellStyle name="Normal 6 2 2 10 4" xfId="23541"/>
    <cellStyle name="Normal 6 2 2 10 5" xfId="28502"/>
    <cellStyle name="Normal 6 2 2 10 6" xfId="33360"/>
    <cellStyle name="Normal 6 2 2 10 7" xfId="38091"/>
    <cellStyle name="Normal 6 2 2 11" xfId="4564"/>
    <cellStyle name="Normal 6 2 2 11 2" xfId="6462"/>
    <cellStyle name="Normal 6 2 2 11 3" xfId="18572"/>
    <cellStyle name="Normal 6 2 2 11 4" xfId="23615"/>
    <cellStyle name="Normal 6 2 2 11 5" xfId="28576"/>
    <cellStyle name="Normal 6 2 2 11 6" xfId="33434"/>
    <cellStyle name="Normal 6 2 2 11 7" xfId="38165"/>
    <cellStyle name="Normal 6 2 2 12" xfId="4670"/>
    <cellStyle name="Normal 6 2 2 12 2" xfId="5852"/>
    <cellStyle name="Normal 6 2 2 12 3" xfId="17952"/>
    <cellStyle name="Normal 6 2 2 12 4" xfId="22995"/>
    <cellStyle name="Normal 6 2 2 12 5" xfId="27956"/>
    <cellStyle name="Normal 6 2 2 12 6" xfId="32814"/>
    <cellStyle name="Normal 6 2 2 12 7" xfId="37545"/>
    <cellStyle name="Normal 6 2 2 13" xfId="4790"/>
    <cellStyle name="Normal 6 2 2 13 2" xfId="5962"/>
    <cellStyle name="Normal 6 2 2 13 3" xfId="18064"/>
    <cellStyle name="Normal 6 2 2 13 4" xfId="23107"/>
    <cellStyle name="Normal 6 2 2 13 5" xfId="28068"/>
    <cellStyle name="Normal 6 2 2 13 6" xfId="32926"/>
    <cellStyle name="Normal 6 2 2 13 7" xfId="37657"/>
    <cellStyle name="Normal 6 2 2 14" xfId="4877"/>
    <cellStyle name="Normal 6 2 2 14 2" xfId="6304"/>
    <cellStyle name="Normal 6 2 2 14 3" xfId="18412"/>
    <cellStyle name="Normal 6 2 2 14 4" xfId="23455"/>
    <cellStyle name="Normal 6 2 2 14 5" xfId="28416"/>
    <cellStyle name="Normal 6 2 2 14 6" xfId="33274"/>
    <cellStyle name="Normal 6 2 2 14 7" xfId="38005"/>
    <cellStyle name="Normal 6 2 2 15" xfId="4913"/>
    <cellStyle name="Normal 6 2 2 15 2" xfId="5955"/>
    <cellStyle name="Normal 6 2 2 15 3" xfId="18057"/>
    <cellStyle name="Normal 6 2 2 15 4" xfId="23100"/>
    <cellStyle name="Normal 6 2 2 15 5" xfId="28061"/>
    <cellStyle name="Normal 6 2 2 15 6" xfId="32919"/>
    <cellStyle name="Normal 6 2 2 15 7" xfId="37650"/>
    <cellStyle name="Normal 6 2 2 16" xfId="4868"/>
    <cellStyle name="Normal 6 2 2 16 2" xfId="6039"/>
    <cellStyle name="Normal 6 2 2 16 3" xfId="18143"/>
    <cellStyle name="Normal 6 2 2 16 4" xfId="23186"/>
    <cellStyle name="Normal 6 2 2 16 5" xfId="28147"/>
    <cellStyle name="Normal 6 2 2 16 6" xfId="33005"/>
    <cellStyle name="Normal 6 2 2 16 7" xfId="37736"/>
    <cellStyle name="Normal 6 2 2 17" xfId="5007"/>
    <cellStyle name="Normal 6 2 2 17 2" xfId="6325"/>
    <cellStyle name="Normal 6 2 2 17 3" xfId="18433"/>
    <cellStyle name="Normal 6 2 2 17 4" xfId="23476"/>
    <cellStyle name="Normal 6 2 2 17 5" xfId="28437"/>
    <cellStyle name="Normal 6 2 2 17 6" xfId="33295"/>
    <cellStyle name="Normal 6 2 2 17 7" xfId="38026"/>
    <cellStyle name="Normal 6 2 2 18" xfId="5102"/>
    <cellStyle name="Normal 6 2 2 18 2" xfId="6246"/>
    <cellStyle name="Normal 6 2 2 18 3" xfId="18350"/>
    <cellStyle name="Normal 6 2 2 18 4" xfId="23393"/>
    <cellStyle name="Normal 6 2 2 18 5" xfId="28354"/>
    <cellStyle name="Normal 6 2 2 18 6" xfId="33212"/>
    <cellStyle name="Normal 6 2 2 18 7" xfId="37943"/>
    <cellStyle name="Normal 6 2 2 19" xfId="5065"/>
    <cellStyle name="Normal 6 2 2 19 2" xfId="5933"/>
    <cellStyle name="Normal 6 2 2 19 3" xfId="18035"/>
    <cellStyle name="Normal 6 2 2 19 4" xfId="23078"/>
    <cellStyle name="Normal 6 2 2 19 5" xfId="28039"/>
    <cellStyle name="Normal 6 2 2 19 6" xfId="32897"/>
    <cellStyle name="Normal 6 2 2 19 7" xfId="37628"/>
    <cellStyle name="Normal 6 2 2 2" xfId="2475"/>
    <cellStyle name="Normal 6 2 2 2 10" xfId="4611"/>
    <cellStyle name="Normal 6 2 2 2 10 2" xfId="5823"/>
    <cellStyle name="Normal 6 2 2 2 10 3" xfId="17922"/>
    <cellStyle name="Normal 6 2 2 2 10 4" xfId="22965"/>
    <cellStyle name="Normal 6 2 2 2 10 5" xfId="27926"/>
    <cellStyle name="Normal 6 2 2 2 10 6" xfId="32784"/>
    <cellStyle name="Normal 6 2 2 2 10 7" xfId="37515"/>
    <cellStyle name="Normal 6 2 2 2 11" xfId="4688"/>
    <cellStyle name="Normal 6 2 2 2 11 2" xfId="6386"/>
    <cellStyle name="Normal 6 2 2 2 11 3" xfId="18496"/>
    <cellStyle name="Normal 6 2 2 2 11 4" xfId="23539"/>
    <cellStyle name="Normal 6 2 2 2 11 5" xfId="28500"/>
    <cellStyle name="Normal 6 2 2 2 11 6" xfId="33358"/>
    <cellStyle name="Normal 6 2 2 2 11 7" xfId="38089"/>
    <cellStyle name="Normal 6 2 2 2 12" xfId="4844"/>
    <cellStyle name="Normal 6 2 2 2 12 2" xfId="6018"/>
    <cellStyle name="Normal 6 2 2 2 12 3" xfId="18122"/>
    <cellStyle name="Normal 6 2 2 2 12 4" xfId="23165"/>
    <cellStyle name="Normal 6 2 2 2 12 5" xfId="28126"/>
    <cellStyle name="Normal 6 2 2 2 12 6" xfId="32984"/>
    <cellStyle name="Normal 6 2 2 2 12 7" xfId="37715"/>
    <cellStyle name="Normal 6 2 2 2 13" xfId="4826"/>
    <cellStyle name="Normal 6 2 2 2 13 2" xfId="5822"/>
    <cellStyle name="Normal 6 2 2 2 13 3" xfId="17921"/>
    <cellStyle name="Normal 6 2 2 2 13 4" xfId="22964"/>
    <cellStyle name="Normal 6 2 2 2 13 5" xfId="27925"/>
    <cellStyle name="Normal 6 2 2 2 13 6" xfId="32783"/>
    <cellStyle name="Normal 6 2 2 2 13 7" xfId="37514"/>
    <cellStyle name="Normal 6 2 2 2 14" xfId="4902"/>
    <cellStyle name="Normal 6 2 2 2 14 2" xfId="6454"/>
    <cellStyle name="Normal 6 2 2 2 14 3" xfId="18564"/>
    <cellStyle name="Normal 6 2 2 2 14 4" xfId="23607"/>
    <cellStyle name="Normal 6 2 2 2 14 5" xfId="28568"/>
    <cellStyle name="Normal 6 2 2 2 14 6" xfId="33426"/>
    <cellStyle name="Normal 6 2 2 2 14 7" xfId="38157"/>
    <cellStyle name="Normal 6 2 2 2 15" xfId="4893"/>
    <cellStyle name="Normal 6 2 2 2 15 2" xfId="6399"/>
    <cellStyle name="Normal 6 2 2 2 15 3" xfId="18509"/>
    <cellStyle name="Normal 6 2 2 2 15 4" xfId="23552"/>
    <cellStyle name="Normal 6 2 2 2 15 5" xfId="28513"/>
    <cellStyle name="Normal 6 2 2 2 15 6" xfId="33371"/>
    <cellStyle name="Normal 6 2 2 2 15 7" xfId="38102"/>
    <cellStyle name="Normal 6 2 2 2 16" xfId="5069"/>
    <cellStyle name="Normal 6 2 2 2 16 2" xfId="6347"/>
    <cellStyle name="Normal 6 2 2 2 16 3" xfId="18455"/>
    <cellStyle name="Normal 6 2 2 2 16 4" xfId="23498"/>
    <cellStyle name="Normal 6 2 2 2 16 5" xfId="28459"/>
    <cellStyle name="Normal 6 2 2 2 16 6" xfId="33317"/>
    <cellStyle name="Normal 6 2 2 2 16 7" xfId="38048"/>
    <cellStyle name="Normal 6 2 2 2 17" xfId="5046"/>
    <cellStyle name="Normal 6 2 2 2 17 2" xfId="6460"/>
    <cellStyle name="Normal 6 2 2 2 17 3" xfId="18570"/>
    <cellStyle name="Normal 6 2 2 2 17 4" xfId="23613"/>
    <cellStyle name="Normal 6 2 2 2 17 5" xfId="28574"/>
    <cellStyle name="Normal 6 2 2 2 17 6" xfId="33432"/>
    <cellStyle name="Normal 6 2 2 2 17 7" xfId="38163"/>
    <cellStyle name="Normal 6 2 2 2 18" xfId="5094"/>
    <cellStyle name="Normal 6 2 2 2 18 2" xfId="6333"/>
    <cellStyle name="Normal 6 2 2 2 18 3" xfId="18441"/>
    <cellStyle name="Normal 6 2 2 2 18 4" xfId="23484"/>
    <cellStyle name="Normal 6 2 2 2 18 5" xfId="28445"/>
    <cellStyle name="Normal 6 2 2 2 18 6" xfId="33303"/>
    <cellStyle name="Normal 6 2 2 2 18 7" xfId="38034"/>
    <cellStyle name="Normal 6 2 2 2 19" xfId="4997"/>
    <cellStyle name="Normal 6 2 2 2 19 2" xfId="6764"/>
    <cellStyle name="Normal 6 2 2 2 19 3" xfId="18885"/>
    <cellStyle name="Normal 6 2 2 2 19 4" xfId="23928"/>
    <cellStyle name="Normal 6 2 2 2 19 5" xfId="28889"/>
    <cellStyle name="Normal 6 2 2 2 19 6" xfId="33747"/>
    <cellStyle name="Normal 6 2 2 2 19 7" xfId="38478"/>
    <cellStyle name="Normal 6 2 2 2 2" xfId="2480"/>
    <cellStyle name="Normal 6 2 2 2 2 10" xfId="4692"/>
    <cellStyle name="Normal 6 2 2 2 2 10 2" xfId="6195"/>
    <cellStyle name="Normal 6 2 2 2 2 10 3" xfId="18299"/>
    <cellStyle name="Normal 6 2 2 2 2 10 4" xfId="23342"/>
    <cellStyle name="Normal 6 2 2 2 2 10 5" xfId="28303"/>
    <cellStyle name="Normal 6 2 2 2 2 10 6" xfId="33161"/>
    <cellStyle name="Normal 6 2 2 2 2 10 7" xfId="37892"/>
    <cellStyle name="Normal 6 2 2 2 2 11" xfId="4848"/>
    <cellStyle name="Normal 6 2 2 2 2 11 2" xfId="6407"/>
    <cellStyle name="Normal 6 2 2 2 2 11 3" xfId="18517"/>
    <cellStyle name="Normal 6 2 2 2 2 11 4" xfId="23560"/>
    <cellStyle name="Normal 6 2 2 2 2 11 5" xfId="28521"/>
    <cellStyle name="Normal 6 2 2 2 2 11 6" xfId="33379"/>
    <cellStyle name="Normal 6 2 2 2 2 11 7" xfId="38110"/>
    <cellStyle name="Normal 6 2 2 2 2 12" xfId="4801"/>
    <cellStyle name="Normal 6 2 2 2 2 12 2" xfId="6101"/>
    <cellStyle name="Normal 6 2 2 2 2 12 3" xfId="18205"/>
    <cellStyle name="Normal 6 2 2 2 2 12 4" xfId="23248"/>
    <cellStyle name="Normal 6 2 2 2 2 12 5" xfId="28209"/>
    <cellStyle name="Normal 6 2 2 2 2 12 6" xfId="33067"/>
    <cellStyle name="Normal 6 2 2 2 2 12 7" xfId="37798"/>
    <cellStyle name="Normal 6 2 2 2 2 13" xfId="4888"/>
    <cellStyle name="Normal 6 2 2 2 2 13 2" xfId="6488"/>
    <cellStyle name="Normal 6 2 2 2 2 13 3" xfId="18598"/>
    <cellStyle name="Normal 6 2 2 2 2 13 4" xfId="23641"/>
    <cellStyle name="Normal 6 2 2 2 2 13 5" xfId="28602"/>
    <cellStyle name="Normal 6 2 2 2 2 13 6" xfId="33460"/>
    <cellStyle name="Normal 6 2 2 2 2 13 7" xfId="38191"/>
    <cellStyle name="Normal 6 2 2 2 2 14" xfId="4907"/>
    <cellStyle name="Normal 6 2 2 2 2 14 2" xfId="5950"/>
    <cellStyle name="Normal 6 2 2 2 2 14 3" xfId="18052"/>
    <cellStyle name="Normal 6 2 2 2 2 14 4" xfId="23095"/>
    <cellStyle name="Normal 6 2 2 2 2 14 5" xfId="28056"/>
    <cellStyle name="Normal 6 2 2 2 2 14 6" xfId="32914"/>
    <cellStyle name="Normal 6 2 2 2 2 14 7" xfId="37645"/>
    <cellStyle name="Normal 6 2 2 2 2 15" xfId="5073"/>
    <cellStyle name="Normal 6 2 2 2 2 15 2" xfId="6295"/>
    <cellStyle name="Normal 6 2 2 2 2 15 3" xfId="18401"/>
    <cellStyle name="Normal 6 2 2 2 2 15 4" xfId="23444"/>
    <cellStyle name="Normal 6 2 2 2 2 15 5" xfId="28405"/>
    <cellStyle name="Normal 6 2 2 2 2 15 6" xfId="33263"/>
    <cellStyle name="Normal 6 2 2 2 2 15 7" xfId="37994"/>
    <cellStyle name="Normal 6 2 2 2 2 16" xfId="5018"/>
    <cellStyle name="Normal 6 2 2 2 2 16 2" xfId="6239"/>
    <cellStyle name="Normal 6 2 2 2 2 16 3" xfId="18343"/>
    <cellStyle name="Normal 6 2 2 2 2 16 4" xfId="23386"/>
    <cellStyle name="Normal 6 2 2 2 2 16 5" xfId="28347"/>
    <cellStyle name="Normal 6 2 2 2 2 16 6" xfId="33205"/>
    <cellStyle name="Normal 6 2 2 2 2 16 7" xfId="37936"/>
    <cellStyle name="Normal 6 2 2 2 2 17" xfId="5156"/>
    <cellStyle name="Normal 6 2 2 2 2 17 2" xfId="6291"/>
    <cellStyle name="Normal 6 2 2 2 2 17 3" xfId="18397"/>
    <cellStyle name="Normal 6 2 2 2 2 17 4" xfId="23440"/>
    <cellStyle name="Normal 6 2 2 2 2 17 5" xfId="28401"/>
    <cellStyle name="Normal 6 2 2 2 2 17 6" xfId="33259"/>
    <cellStyle name="Normal 6 2 2 2 2 17 7" xfId="37990"/>
    <cellStyle name="Normal 6 2 2 2 2 18" xfId="5122"/>
    <cellStyle name="Normal 6 2 2 2 2 18 2" xfId="6768"/>
    <cellStyle name="Normal 6 2 2 2 2 18 3" xfId="18889"/>
    <cellStyle name="Normal 6 2 2 2 2 18 4" xfId="23932"/>
    <cellStyle name="Normal 6 2 2 2 2 18 5" xfId="28893"/>
    <cellStyle name="Normal 6 2 2 2 2 18 6" xfId="33751"/>
    <cellStyle name="Normal 6 2 2 2 2 18 7" xfId="38482"/>
    <cellStyle name="Normal 6 2 2 2 2 19" xfId="5426"/>
    <cellStyle name="Normal 6 2 2 2 2 19 2" xfId="6717"/>
    <cellStyle name="Normal 6 2 2 2 2 19 3" xfId="18838"/>
    <cellStyle name="Normal 6 2 2 2 2 19 4" xfId="23881"/>
    <cellStyle name="Normal 6 2 2 2 2 19 5" xfId="28842"/>
    <cellStyle name="Normal 6 2 2 2 2 19 6" xfId="33700"/>
    <cellStyle name="Normal 6 2 2 2 2 19 7" xfId="38431"/>
    <cellStyle name="Normal 6 2 2 2 2 2" xfId="4292"/>
    <cellStyle name="Normal 6 2 2 2 2 2 2" xfId="6205"/>
    <cellStyle name="Normal 6 2 2 2 2 2 3" xfId="18309"/>
    <cellStyle name="Normal 6 2 2 2 2 2 4" xfId="23352"/>
    <cellStyle name="Normal 6 2 2 2 2 2 5" xfId="28313"/>
    <cellStyle name="Normal 6 2 2 2 2 2 6" xfId="33171"/>
    <cellStyle name="Normal 6 2 2 2 2 2 7" xfId="37902"/>
    <cellStyle name="Normal 6 2 2 2 2 20" xfId="5326"/>
    <cellStyle name="Normal 6 2 2 2 2 20 2" xfId="6807"/>
    <cellStyle name="Normal 6 2 2 2 2 20 3" xfId="18928"/>
    <cellStyle name="Normal 6 2 2 2 2 20 4" xfId="23971"/>
    <cellStyle name="Normal 6 2 2 2 2 20 5" xfId="28932"/>
    <cellStyle name="Normal 6 2 2 2 2 20 6" xfId="33790"/>
    <cellStyle name="Normal 6 2 2 2 2 20 7" xfId="38521"/>
    <cellStyle name="Normal 6 2 2 2 2 21" xfId="5501"/>
    <cellStyle name="Normal 6 2 2 2 2 21 2" xfId="6822"/>
    <cellStyle name="Normal 6 2 2 2 2 21 3" xfId="18943"/>
    <cellStyle name="Normal 6 2 2 2 2 21 4" xfId="23986"/>
    <cellStyle name="Normal 6 2 2 2 2 21 5" xfId="28947"/>
    <cellStyle name="Normal 6 2 2 2 2 21 6" xfId="33805"/>
    <cellStyle name="Normal 6 2 2 2 2 21 7" xfId="38536"/>
    <cellStyle name="Normal 6 2 2 2 2 22" xfId="5548"/>
    <cellStyle name="Normal 6 2 2 2 2 22 2" xfId="7171"/>
    <cellStyle name="Normal 6 2 2 2 2 22 3" xfId="19326"/>
    <cellStyle name="Normal 6 2 2 2 2 22 4" xfId="24369"/>
    <cellStyle name="Normal 6 2 2 2 2 22 5" xfId="29330"/>
    <cellStyle name="Normal 6 2 2 2 2 22 6" xfId="34188"/>
    <cellStyle name="Normal 6 2 2 2 2 22 7" xfId="38919"/>
    <cellStyle name="Normal 6 2 2 2 2 23" xfId="5399"/>
    <cellStyle name="Normal 6 2 2 2 2 23 2" xfId="7040"/>
    <cellStyle name="Normal 6 2 2 2 2 23 3" xfId="19181"/>
    <cellStyle name="Normal 6 2 2 2 2 23 4" xfId="24224"/>
    <cellStyle name="Normal 6 2 2 2 2 23 5" xfId="29185"/>
    <cellStyle name="Normal 6 2 2 2 2 23 6" xfId="34043"/>
    <cellStyle name="Normal 6 2 2 2 2 23 7" xfId="38774"/>
    <cellStyle name="Normal 6 2 2 2 2 24" xfId="5538"/>
    <cellStyle name="Normal 6 2 2 2 2 24 2" xfId="7256"/>
    <cellStyle name="Normal 6 2 2 2 2 24 3" xfId="19419"/>
    <cellStyle name="Normal 6 2 2 2 2 24 4" xfId="24462"/>
    <cellStyle name="Normal 6 2 2 2 2 24 5" xfId="29423"/>
    <cellStyle name="Normal 6 2 2 2 2 24 6" xfId="34281"/>
    <cellStyle name="Normal 6 2 2 2 2 24 7" xfId="39012"/>
    <cellStyle name="Normal 6 2 2 2 2 25" xfId="5522"/>
    <cellStyle name="Normal 6 2 2 2 2 25 2" xfId="7306"/>
    <cellStyle name="Normal 6 2 2 2 2 25 3" xfId="19475"/>
    <cellStyle name="Normal 6 2 2 2 2 25 4" xfId="24518"/>
    <cellStyle name="Normal 6 2 2 2 2 25 5" xfId="29479"/>
    <cellStyle name="Normal 6 2 2 2 2 25 6" xfId="34337"/>
    <cellStyle name="Normal 6 2 2 2 2 25 7" xfId="39068"/>
    <cellStyle name="Normal 6 2 2 2 2 26" xfId="5334"/>
    <cellStyle name="Normal 6 2 2 2 2 26 2" xfId="7144"/>
    <cellStyle name="Normal 6 2 2 2 2 26 3" xfId="19296"/>
    <cellStyle name="Normal 6 2 2 2 2 26 4" xfId="24339"/>
    <cellStyle name="Normal 6 2 2 2 2 26 5" xfId="29300"/>
    <cellStyle name="Normal 6 2 2 2 2 26 6" xfId="34158"/>
    <cellStyle name="Normal 6 2 2 2 2 26 7" xfId="38889"/>
    <cellStyle name="Normal 6 2 2 2 2 27" xfId="5418"/>
    <cellStyle name="Normal 6 2 2 2 2 27 2" xfId="7297"/>
    <cellStyle name="Normal 6 2 2 2 2 27 3" xfId="19465"/>
    <cellStyle name="Normal 6 2 2 2 2 27 4" xfId="24508"/>
    <cellStyle name="Normal 6 2 2 2 2 27 5" xfId="29469"/>
    <cellStyle name="Normal 6 2 2 2 2 27 6" xfId="34327"/>
    <cellStyle name="Normal 6 2 2 2 2 27 7" xfId="39058"/>
    <cellStyle name="Normal 6 2 2 2 2 28" xfId="5778"/>
    <cellStyle name="Normal 6 2 2 2 2 28 2" xfId="14423"/>
    <cellStyle name="Normal 6 2 2 2 2 28 3" xfId="19437"/>
    <cellStyle name="Normal 6 2 2 2 2 28 4" xfId="24480"/>
    <cellStyle name="Normal 6 2 2 2 2 28 5" xfId="29441"/>
    <cellStyle name="Normal 6 2 2 2 2 28 6" xfId="34299"/>
    <cellStyle name="Normal 6 2 2 2 2 28 7" xfId="39030"/>
    <cellStyle name="Normal 6 2 2 2 2 29" xfId="7052"/>
    <cellStyle name="Normal 6 2 2 2 2 29 2" xfId="14319"/>
    <cellStyle name="Normal 6 2 2 2 2 29 3" xfId="19196"/>
    <cellStyle name="Normal 6 2 2 2 2 29 4" xfId="24239"/>
    <cellStyle name="Normal 6 2 2 2 2 29 5" xfId="29200"/>
    <cellStyle name="Normal 6 2 2 2 2 29 6" xfId="34058"/>
    <cellStyle name="Normal 6 2 2 2 2 29 7" xfId="38789"/>
    <cellStyle name="Normal 6 2 2 2 2 3" xfId="4355"/>
    <cellStyle name="Normal 6 2 2 2 2 3 2" xfId="6024"/>
    <cellStyle name="Normal 6 2 2 2 2 3 3" xfId="18128"/>
    <cellStyle name="Normal 6 2 2 2 2 3 4" xfId="23171"/>
    <cellStyle name="Normal 6 2 2 2 2 3 5" xfId="28132"/>
    <cellStyle name="Normal 6 2 2 2 2 3 6" xfId="32990"/>
    <cellStyle name="Normal 6 2 2 2 2 3 7" xfId="37721"/>
    <cellStyle name="Normal 6 2 2 2 2 30" xfId="7162"/>
    <cellStyle name="Normal 6 2 2 2 2 30 2" xfId="14381"/>
    <cellStyle name="Normal 6 2 2 2 2 30 3" xfId="19317"/>
    <cellStyle name="Normal 6 2 2 2 2 30 4" xfId="24360"/>
    <cellStyle name="Normal 6 2 2 2 2 30 5" xfId="29321"/>
    <cellStyle name="Normal 6 2 2 2 2 30 6" xfId="34179"/>
    <cellStyle name="Normal 6 2 2 2 2 30 7" xfId="38910"/>
    <cellStyle name="Normal 6 2 2 2 2 31" xfId="7309"/>
    <cellStyle name="Normal 6 2 2 2 2 31 2" xfId="14447"/>
    <cellStyle name="Normal 6 2 2 2 2 31 3" xfId="19479"/>
    <cellStyle name="Normal 6 2 2 2 2 31 4" xfId="24522"/>
    <cellStyle name="Normal 6 2 2 2 2 31 5" xfId="29483"/>
    <cellStyle name="Normal 6 2 2 2 2 31 6" xfId="34341"/>
    <cellStyle name="Normal 6 2 2 2 2 31 7" xfId="39072"/>
    <cellStyle name="Normal 6 2 2 2 2 32" xfId="7096"/>
    <cellStyle name="Normal 6 2 2 2 2 32 2" xfId="14340"/>
    <cellStyle name="Normal 6 2 2 2 2 32 3" xfId="19242"/>
    <cellStyle name="Normal 6 2 2 2 2 32 4" xfId="24285"/>
    <cellStyle name="Normal 6 2 2 2 2 32 5" xfId="29246"/>
    <cellStyle name="Normal 6 2 2 2 2 32 6" xfId="34104"/>
    <cellStyle name="Normal 6 2 2 2 2 32 7" xfId="38835"/>
    <cellStyle name="Normal 6 2 2 2 2 33" xfId="7365"/>
    <cellStyle name="Normal 6 2 2 2 2 33 2" xfId="14478"/>
    <cellStyle name="Normal 6 2 2 2 2 33 3" xfId="19538"/>
    <cellStyle name="Normal 6 2 2 2 2 33 4" xfId="24581"/>
    <cellStyle name="Normal 6 2 2 2 2 33 5" xfId="29542"/>
    <cellStyle name="Normal 6 2 2 2 2 33 6" xfId="34400"/>
    <cellStyle name="Normal 6 2 2 2 2 33 7" xfId="39131"/>
    <cellStyle name="Normal 6 2 2 2 2 34" xfId="7832"/>
    <cellStyle name="Normal 6 2 2 2 2 34 2" xfId="14912"/>
    <cellStyle name="Normal 6 2 2 2 2 34 3" xfId="20029"/>
    <cellStyle name="Normal 6 2 2 2 2 34 4" xfId="25072"/>
    <cellStyle name="Normal 6 2 2 2 2 34 5" xfId="30033"/>
    <cellStyle name="Normal 6 2 2 2 2 34 6" xfId="34891"/>
    <cellStyle name="Normal 6 2 2 2 2 34 7" xfId="39622"/>
    <cellStyle name="Normal 6 2 2 2 2 35" xfId="7671"/>
    <cellStyle name="Normal 6 2 2 2 2 35 2" xfId="14751"/>
    <cellStyle name="Normal 6 2 2 2 2 35 3" xfId="19868"/>
    <cellStyle name="Normal 6 2 2 2 2 35 4" xfId="24911"/>
    <cellStyle name="Normal 6 2 2 2 2 35 5" xfId="29872"/>
    <cellStyle name="Normal 6 2 2 2 2 35 6" xfId="34730"/>
    <cellStyle name="Normal 6 2 2 2 2 35 7" xfId="39461"/>
    <cellStyle name="Normal 6 2 2 2 2 36" xfId="7938"/>
    <cellStyle name="Normal 6 2 2 2 2 36 2" xfId="15018"/>
    <cellStyle name="Normal 6 2 2 2 2 36 3" xfId="20135"/>
    <cellStyle name="Normal 6 2 2 2 2 36 4" xfId="25178"/>
    <cellStyle name="Normal 6 2 2 2 2 36 5" xfId="30139"/>
    <cellStyle name="Normal 6 2 2 2 2 36 6" xfId="34997"/>
    <cellStyle name="Normal 6 2 2 2 2 36 7" xfId="39728"/>
    <cellStyle name="Normal 6 2 2 2 2 37" xfId="8011"/>
    <cellStyle name="Normal 6 2 2 2 2 37 2" xfId="15091"/>
    <cellStyle name="Normal 6 2 2 2 2 37 3" xfId="20208"/>
    <cellStyle name="Normal 6 2 2 2 2 37 4" xfId="25251"/>
    <cellStyle name="Normal 6 2 2 2 2 37 5" xfId="30212"/>
    <cellStyle name="Normal 6 2 2 2 2 37 6" xfId="35070"/>
    <cellStyle name="Normal 6 2 2 2 2 37 7" xfId="39801"/>
    <cellStyle name="Normal 6 2 2 2 2 38" xfId="7799"/>
    <cellStyle name="Normal 6 2 2 2 2 38 2" xfId="14879"/>
    <cellStyle name="Normal 6 2 2 2 2 38 3" xfId="19996"/>
    <cellStyle name="Normal 6 2 2 2 2 38 4" xfId="25039"/>
    <cellStyle name="Normal 6 2 2 2 2 38 5" xfId="30000"/>
    <cellStyle name="Normal 6 2 2 2 2 38 6" xfId="34858"/>
    <cellStyle name="Normal 6 2 2 2 2 38 7" xfId="39589"/>
    <cellStyle name="Normal 6 2 2 2 2 39" xfId="7998"/>
    <cellStyle name="Normal 6 2 2 2 2 39 2" xfId="15078"/>
    <cellStyle name="Normal 6 2 2 2 2 39 3" xfId="20195"/>
    <cellStyle name="Normal 6 2 2 2 2 39 4" xfId="25238"/>
    <cellStyle name="Normal 6 2 2 2 2 39 5" xfId="30199"/>
    <cellStyle name="Normal 6 2 2 2 2 39 6" xfId="35057"/>
    <cellStyle name="Normal 6 2 2 2 2 39 7" xfId="39788"/>
    <cellStyle name="Normal 6 2 2 2 2 4" xfId="4258"/>
    <cellStyle name="Normal 6 2 2 2 2 4 2" xfId="6322"/>
    <cellStyle name="Normal 6 2 2 2 2 4 3" xfId="18430"/>
    <cellStyle name="Normal 6 2 2 2 2 4 4" xfId="23473"/>
    <cellStyle name="Normal 6 2 2 2 2 4 5" xfId="28434"/>
    <cellStyle name="Normal 6 2 2 2 2 4 6" xfId="33292"/>
    <cellStyle name="Normal 6 2 2 2 2 4 7" xfId="38023"/>
    <cellStyle name="Normal 6 2 2 2 2 40" xfId="7962"/>
    <cellStyle name="Normal 6 2 2 2 2 40 2" xfId="15042"/>
    <cellStyle name="Normal 6 2 2 2 2 40 3" xfId="20159"/>
    <cellStyle name="Normal 6 2 2 2 2 40 4" xfId="25202"/>
    <cellStyle name="Normal 6 2 2 2 2 40 5" xfId="30163"/>
    <cellStyle name="Normal 6 2 2 2 2 40 6" xfId="35021"/>
    <cellStyle name="Normal 6 2 2 2 2 40 7" xfId="39752"/>
    <cellStyle name="Normal 6 2 2 2 2 41" xfId="7687"/>
    <cellStyle name="Normal 6 2 2 2 2 41 2" xfId="14767"/>
    <cellStyle name="Normal 6 2 2 2 2 41 3" xfId="19884"/>
    <cellStyle name="Normal 6 2 2 2 2 41 4" xfId="24927"/>
    <cellStyle name="Normal 6 2 2 2 2 41 5" xfId="29888"/>
    <cellStyle name="Normal 6 2 2 2 2 41 6" xfId="34746"/>
    <cellStyle name="Normal 6 2 2 2 2 41 7" xfId="39477"/>
    <cellStyle name="Normal 6 2 2 2 2 42" xfId="7823"/>
    <cellStyle name="Normal 6 2 2 2 2 42 2" xfId="14903"/>
    <cellStyle name="Normal 6 2 2 2 2 42 3" xfId="20020"/>
    <cellStyle name="Normal 6 2 2 2 2 42 4" xfId="25063"/>
    <cellStyle name="Normal 6 2 2 2 2 42 5" xfId="30024"/>
    <cellStyle name="Normal 6 2 2 2 2 42 6" xfId="34882"/>
    <cellStyle name="Normal 6 2 2 2 2 42 7" xfId="39613"/>
    <cellStyle name="Normal 6 2 2 2 2 43" xfId="8016"/>
    <cellStyle name="Normal 6 2 2 2 2 43 2" xfId="15096"/>
    <cellStyle name="Normal 6 2 2 2 2 43 3" xfId="20213"/>
    <cellStyle name="Normal 6 2 2 2 2 43 4" xfId="25256"/>
    <cellStyle name="Normal 6 2 2 2 2 43 5" xfId="30217"/>
    <cellStyle name="Normal 6 2 2 2 2 43 6" xfId="35075"/>
    <cellStyle name="Normal 6 2 2 2 2 43 7" xfId="39806"/>
    <cellStyle name="Normal 6 2 2 2 2 44" xfId="7739"/>
    <cellStyle name="Normal 6 2 2 2 2 44 2" xfId="14819"/>
    <cellStyle name="Normal 6 2 2 2 2 44 3" xfId="19936"/>
    <cellStyle name="Normal 6 2 2 2 2 44 4" xfId="24979"/>
    <cellStyle name="Normal 6 2 2 2 2 44 5" xfId="29940"/>
    <cellStyle name="Normal 6 2 2 2 2 44 6" xfId="34798"/>
    <cellStyle name="Normal 6 2 2 2 2 44 7" xfId="39529"/>
    <cellStyle name="Normal 6 2 2 2 2 45" xfId="8087"/>
    <cellStyle name="Normal 6 2 2 2 2 45 2" xfId="15167"/>
    <cellStyle name="Normal 6 2 2 2 2 45 3" xfId="20284"/>
    <cellStyle name="Normal 6 2 2 2 2 45 4" xfId="25327"/>
    <cellStyle name="Normal 6 2 2 2 2 45 5" xfId="30288"/>
    <cellStyle name="Normal 6 2 2 2 2 45 6" xfId="35146"/>
    <cellStyle name="Normal 6 2 2 2 2 45 7" xfId="39877"/>
    <cellStyle name="Normal 6 2 2 2 2 46" xfId="7605"/>
    <cellStyle name="Normal 6 2 2 2 2 46 2" xfId="14685"/>
    <cellStyle name="Normal 6 2 2 2 2 46 3" xfId="19802"/>
    <cellStyle name="Normal 6 2 2 2 2 46 4" xfId="24845"/>
    <cellStyle name="Normal 6 2 2 2 2 46 5" xfId="29806"/>
    <cellStyle name="Normal 6 2 2 2 2 46 6" xfId="34664"/>
    <cellStyle name="Normal 6 2 2 2 2 46 7" xfId="39395"/>
    <cellStyle name="Normal 6 2 2 2 2 47" xfId="7912"/>
    <cellStyle name="Normal 6 2 2 2 2 47 2" xfId="14992"/>
    <cellStyle name="Normal 6 2 2 2 2 47 3" xfId="20109"/>
    <cellStyle name="Normal 6 2 2 2 2 47 4" xfId="25152"/>
    <cellStyle name="Normal 6 2 2 2 2 47 5" xfId="30113"/>
    <cellStyle name="Normal 6 2 2 2 2 47 6" xfId="34971"/>
    <cellStyle name="Normal 6 2 2 2 2 47 7" xfId="39702"/>
    <cellStyle name="Normal 6 2 2 2 2 48" xfId="8627"/>
    <cellStyle name="Normal 6 2 2 2 2 48 2" xfId="15708"/>
    <cellStyle name="Normal 6 2 2 2 2 48 3" xfId="20825"/>
    <cellStyle name="Normal 6 2 2 2 2 48 4" xfId="25868"/>
    <cellStyle name="Normal 6 2 2 2 2 48 5" xfId="30829"/>
    <cellStyle name="Normal 6 2 2 2 2 48 6" xfId="35687"/>
    <cellStyle name="Normal 6 2 2 2 2 48 7" xfId="40418"/>
    <cellStyle name="Normal 6 2 2 2 2 49" xfId="8448"/>
    <cellStyle name="Normal 6 2 2 2 2 49 2" xfId="15529"/>
    <cellStyle name="Normal 6 2 2 2 2 49 3" xfId="20646"/>
    <cellStyle name="Normal 6 2 2 2 2 49 4" xfId="25689"/>
    <cellStyle name="Normal 6 2 2 2 2 49 5" xfId="30650"/>
    <cellStyle name="Normal 6 2 2 2 2 49 6" xfId="35508"/>
    <cellStyle name="Normal 6 2 2 2 2 49 7" xfId="40239"/>
    <cellStyle name="Normal 6 2 2 2 2 5" xfId="4410"/>
    <cellStyle name="Normal 6 2 2 2 2 5 2" xfId="6402"/>
    <cellStyle name="Normal 6 2 2 2 2 5 3" xfId="18512"/>
    <cellStyle name="Normal 6 2 2 2 2 5 4" xfId="23555"/>
    <cellStyle name="Normal 6 2 2 2 2 5 5" xfId="28516"/>
    <cellStyle name="Normal 6 2 2 2 2 5 6" xfId="33374"/>
    <cellStyle name="Normal 6 2 2 2 2 5 7" xfId="38105"/>
    <cellStyle name="Normal 6 2 2 2 2 50" xfId="8734"/>
    <cellStyle name="Normal 6 2 2 2 2 50 2" xfId="15815"/>
    <cellStyle name="Normal 6 2 2 2 2 50 3" xfId="20932"/>
    <cellStyle name="Normal 6 2 2 2 2 50 4" xfId="25975"/>
    <cellStyle name="Normal 6 2 2 2 2 50 5" xfId="30936"/>
    <cellStyle name="Normal 6 2 2 2 2 50 6" xfId="35794"/>
    <cellStyle name="Normal 6 2 2 2 2 50 7" xfId="40525"/>
    <cellStyle name="Normal 6 2 2 2 2 51" xfId="8813"/>
    <cellStyle name="Normal 6 2 2 2 2 51 2" xfId="15894"/>
    <cellStyle name="Normal 6 2 2 2 2 51 3" xfId="21011"/>
    <cellStyle name="Normal 6 2 2 2 2 51 4" xfId="26054"/>
    <cellStyle name="Normal 6 2 2 2 2 51 5" xfId="31015"/>
    <cellStyle name="Normal 6 2 2 2 2 51 6" xfId="35873"/>
    <cellStyle name="Normal 6 2 2 2 2 51 7" xfId="40604"/>
    <cellStyle name="Normal 6 2 2 2 2 52" xfId="8582"/>
    <cellStyle name="Normal 6 2 2 2 2 52 2" xfId="15663"/>
    <cellStyle name="Normal 6 2 2 2 2 52 3" xfId="20780"/>
    <cellStyle name="Normal 6 2 2 2 2 52 4" xfId="25823"/>
    <cellStyle name="Normal 6 2 2 2 2 52 5" xfId="30784"/>
    <cellStyle name="Normal 6 2 2 2 2 52 6" xfId="35642"/>
    <cellStyle name="Normal 6 2 2 2 2 52 7" xfId="40373"/>
    <cellStyle name="Normal 6 2 2 2 2 53" xfId="8796"/>
    <cellStyle name="Normal 6 2 2 2 2 53 2" xfId="15877"/>
    <cellStyle name="Normal 6 2 2 2 2 53 3" xfId="20994"/>
    <cellStyle name="Normal 6 2 2 2 2 53 4" xfId="26037"/>
    <cellStyle name="Normal 6 2 2 2 2 53 5" xfId="30998"/>
    <cellStyle name="Normal 6 2 2 2 2 53 6" xfId="35856"/>
    <cellStyle name="Normal 6 2 2 2 2 53 7" xfId="40587"/>
    <cellStyle name="Normal 6 2 2 2 2 54" xfId="8761"/>
    <cellStyle name="Normal 6 2 2 2 2 54 2" xfId="15842"/>
    <cellStyle name="Normal 6 2 2 2 2 54 3" xfId="20959"/>
    <cellStyle name="Normal 6 2 2 2 2 54 4" xfId="26002"/>
    <cellStyle name="Normal 6 2 2 2 2 54 5" xfId="30963"/>
    <cellStyle name="Normal 6 2 2 2 2 54 6" xfId="35821"/>
    <cellStyle name="Normal 6 2 2 2 2 54 7" xfId="40552"/>
    <cellStyle name="Normal 6 2 2 2 2 55" xfId="8710"/>
    <cellStyle name="Normal 6 2 2 2 2 55 2" xfId="15791"/>
    <cellStyle name="Normal 6 2 2 2 2 55 3" xfId="20908"/>
    <cellStyle name="Normal 6 2 2 2 2 55 4" xfId="25951"/>
    <cellStyle name="Normal 6 2 2 2 2 55 5" xfId="30912"/>
    <cellStyle name="Normal 6 2 2 2 2 55 6" xfId="35770"/>
    <cellStyle name="Normal 6 2 2 2 2 55 7" xfId="40501"/>
    <cellStyle name="Normal 6 2 2 2 2 56" xfId="8652"/>
    <cellStyle name="Normal 6 2 2 2 2 56 2" xfId="15733"/>
    <cellStyle name="Normal 6 2 2 2 2 56 3" xfId="20850"/>
    <cellStyle name="Normal 6 2 2 2 2 56 4" xfId="25893"/>
    <cellStyle name="Normal 6 2 2 2 2 56 5" xfId="30854"/>
    <cellStyle name="Normal 6 2 2 2 2 56 6" xfId="35712"/>
    <cellStyle name="Normal 6 2 2 2 2 56 7" xfId="40443"/>
    <cellStyle name="Normal 6 2 2 2 2 57" xfId="8881"/>
    <cellStyle name="Normal 6 2 2 2 2 57 2" xfId="15962"/>
    <cellStyle name="Normal 6 2 2 2 2 57 3" xfId="21079"/>
    <cellStyle name="Normal 6 2 2 2 2 57 4" xfId="26122"/>
    <cellStyle name="Normal 6 2 2 2 2 57 5" xfId="31083"/>
    <cellStyle name="Normal 6 2 2 2 2 57 6" xfId="35941"/>
    <cellStyle name="Normal 6 2 2 2 2 57 7" xfId="40672"/>
    <cellStyle name="Normal 6 2 2 2 2 58" xfId="8263"/>
    <cellStyle name="Normal 6 2 2 2 2 58 2" xfId="15344"/>
    <cellStyle name="Normal 6 2 2 2 2 58 3" xfId="20461"/>
    <cellStyle name="Normal 6 2 2 2 2 58 4" xfId="25504"/>
    <cellStyle name="Normal 6 2 2 2 2 58 5" xfId="30465"/>
    <cellStyle name="Normal 6 2 2 2 2 58 6" xfId="35323"/>
    <cellStyle name="Normal 6 2 2 2 2 58 7" xfId="40054"/>
    <cellStyle name="Normal 6 2 2 2 2 59" xfId="8712"/>
    <cellStyle name="Normal 6 2 2 2 2 59 2" xfId="15793"/>
    <cellStyle name="Normal 6 2 2 2 2 59 3" xfId="20910"/>
    <cellStyle name="Normal 6 2 2 2 2 59 4" xfId="25953"/>
    <cellStyle name="Normal 6 2 2 2 2 59 5" xfId="30914"/>
    <cellStyle name="Normal 6 2 2 2 2 59 6" xfId="35772"/>
    <cellStyle name="Normal 6 2 2 2 2 59 7" xfId="40503"/>
    <cellStyle name="Normal 6 2 2 2 2 6" xfId="4466"/>
    <cellStyle name="Normal 6 2 2 2 2 6 2" xfId="6169"/>
    <cellStyle name="Normal 6 2 2 2 2 6 3" xfId="18273"/>
    <cellStyle name="Normal 6 2 2 2 2 6 4" xfId="23316"/>
    <cellStyle name="Normal 6 2 2 2 2 6 5" xfId="28277"/>
    <cellStyle name="Normal 6 2 2 2 2 6 6" xfId="33135"/>
    <cellStyle name="Normal 6 2 2 2 2 6 7" xfId="37866"/>
    <cellStyle name="Normal 6 2 2 2 2 60" xfId="8765"/>
    <cellStyle name="Normal 6 2 2 2 2 60 2" xfId="15846"/>
    <cellStyle name="Normal 6 2 2 2 2 60 3" xfId="20963"/>
    <cellStyle name="Normal 6 2 2 2 2 60 4" xfId="26006"/>
    <cellStyle name="Normal 6 2 2 2 2 60 5" xfId="30967"/>
    <cellStyle name="Normal 6 2 2 2 2 60 6" xfId="35825"/>
    <cellStyle name="Normal 6 2 2 2 2 60 7" xfId="40556"/>
    <cellStyle name="Normal 6 2 2 2 2 61" xfId="8256"/>
    <cellStyle name="Normal 6 2 2 2 2 61 2" xfId="15337"/>
    <cellStyle name="Normal 6 2 2 2 2 61 3" xfId="20454"/>
    <cellStyle name="Normal 6 2 2 2 2 61 4" xfId="25497"/>
    <cellStyle name="Normal 6 2 2 2 2 61 5" xfId="30458"/>
    <cellStyle name="Normal 6 2 2 2 2 61 6" xfId="35316"/>
    <cellStyle name="Normal 6 2 2 2 2 61 7" xfId="40047"/>
    <cellStyle name="Normal 6 2 2 2 2 62" xfId="8657"/>
    <cellStyle name="Normal 6 2 2 2 2 62 2" xfId="15738"/>
    <cellStyle name="Normal 6 2 2 2 2 62 3" xfId="20855"/>
    <cellStyle name="Normal 6 2 2 2 2 62 4" xfId="25898"/>
    <cellStyle name="Normal 6 2 2 2 2 62 5" xfId="30859"/>
    <cellStyle name="Normal 6 2 2 2 2 62 6" xfId="35717"/>
    <cellStyle name="Normal 6 2 2 2 2 62 7" xfId="40448"/>
    <cellStyle name="Normal 6 2 2 2 2 63" xfId="9386"/>
    <cellStyle name="Normal 6 2 2 2 2 63 2" xfId="16467"/>
    <cellStyle name="Normal 6 2 2 2 2 63 3" xfId="21584"/>
    <cellStyle name="Normal 6 2 2 2 2 63 4" xfId="26627"/>
    <cellStyle name="Normal 6 2 2 2 2 63 5" xfId="31588"/>
    <cellStyle name="Normal 6 2 2 2 2 63 6" xfId="36446"/>
    <cellStyle name="Normal 6 2 2 2 2 63 7" xfId="41177"/>
    <cellStyle name="Normal 6 2 2 2 2 64" xfId="9241"/>
    <cellStyle name="Normal 6 2 2 2 2 64 2" xfId="16322"/>
    <cellStyle name="Normal 6 2 2 2 2 64 3" xfId="21439"/>
    <cellStyle name="Normal 6 2 2 2 2 64 4" xfId="26482"/>
    <cellStyle name="Normal 6 2 2 2 2 64 5" xfId="31443"/>
    <cellStyle name="Normal 6 2 2 2 2 64 6" xfId="36301"/>
    <cellStyle name="Normal 6 2 2 2 2 64 7" xfId="41032"/>
    <cellStyle name="Normal 6 2 2 2 2 65" xfId="9479"/>
    <cellStyle name="Normal 6 2 2 2 2 65 2" xfId="16560"/>
    <cellStyle name="Normal 6 2 2 2 2 65 3" xfId="21677"/>
    <cellStyle name="Normal 6 2 2 2 2 65 4" xfId="26720"/>
    <cellStyle name="Normal 6 2 2 2 2 65 5" xfId="31681"/>
    <cellStyle name="Normal 6 2 2 2 2 65 6" xfId="36539"/>
    <cellStyle name="Normal 6 2 2 2 2 65 7" xfId="41270"/>
    <cellStyle name="Normal 6 2 2 2 2 66" xfId="9535"/>
    <cellStyle name="Normal 6 2 2 2 2 66 2" xfId="16616"/>
    <cellStyle name="Normal 6 2 2 2 2 66 3" xfId="21733"/>
    <cellStyle name="Normal 6 2 2 2 2 66 4" xfId="26776"/>
    <cellStyle name="Normal 6 2 2 2 2 66 5" xfId="31737"/>
    <cellStyle name="Normal 6 2 2 2 2 66 6" xfId="36595"/>
    <cellStyle name="Normal 6 2 2 2 2 66 7" xfId="41326"/>
    <cellStyle name="Normal 6 2 2 2 2 67" xfId="9356"/>
    <cellStyle name="Normal 6 2 2 2 2 67 2" xfId="16437"/>
    <cellStyle name="Normal 6 2 2 2 2 67 3" xfId="21554"/>
    <cellStyle name="Normal 6 2 2 2 2 67 4" xfId="26597"/>
    <cellStyle name="Normal 6 2 2 2 2 67 5" xfId="31558"/>
    <cellStyle name="Normal 6 2 2 2 2 67 6" xfId="36416"/>
    <cellStyle name="Normal 6 2 2 2 2 67 7" xfId="41147"/>
    <cellStyle name="Normal 6 2 2 2 2 68" xfId="9525"/>
    <cellStyle name="Normal 6 2 2 2 2 68 2" xfId="16606"/>
    <cellStyle name="Normal 6 2 2 2 2 68 3" xfId="21723"/>
    <cellStyle name="Normal 6 2 2 2 2 68 4" xfId="26766"/>
    <cellStyle name="Normal 6 2 2 2 2 68 5" xfId="31727"/>
    <cellStyle name="Normal 6 2 2 2 2 68 6" xfId="36585"/>
    <cellStyle name="Normal 6 2 2 2 2 68 7" xfId="41316"/>
    <cellStyle name="Normal 6 2 2 2 2 69" xfId="9497"/>
    <cellStyle name="Normal 6 2 2 2 2 69 2" xfId="16578"/>
    <cellStyle name="Normal 6 2 2 2 2 69 3" xfId="21695"/>
    <cellStyle name="Normal 6 2 2 2 2 69 4" xfId="26738"/>
    <cellStyle name="Normal 6 2 2 2 2 69 5" xfId="31699"/>
    <cellStyle name="Normal 6 2 2 2 2 69 6" xfId="36557"/>
    <cellStyle name="Normal 6 2 2 2 2 69 7" xfId="41288"/>
    <cellStyle name="Normal 6 2 2 2 2 7" xfId="4574"/>
    <cellStyle name="Normal 6 2 2 2 2 7 2" xfId="6389"/>
    <cellStyle name="Normal 6 2 2 2 2 7 3" xfId="18499"/>
    <cellStyle name="Normal 6 2 2 2 2 7 4" xfId="23542"/>
    <cellStyle name="Normal 6 2 2 2 2 7 5" xfId="28503"/>
    <cellStyle name="Normal 6 2 2 2 2 7 6" xfId="33361"/>
    <cellStyle name="Normal 6 2 2 2 2 7 7" xfId="38092"/>
    <cellStyle name="Normal 6 2 2 2 2 70" xfId="9256"/>
    <cellStyle name="Normal 6 2 2 2 2 70 2" xfId="16337"/>
    <cellStyle name="Normal 6 2 2 2 2 70 3" xfId="21454"/>
    <cellStyle name="Normal 6 2 2 2 2 70 4" xfId="26497"/>
    <cellStyle name="Normal 6 2 2 2 2 70 5" xfId="31458"/>
    <cellStyle name="Normal 6 2 2 2 2 70 6" xfId="36316"/>
    <cellStyle name="Normal 6 2 2 2 2 70 7" xfId="41047"/>
    <cellStyle name="Normal 6 2 2 2 2 71" xfId="9377"/>
    <cellStyle name="Normal 6 2 2 2 2 71 2" xfId="16458"/>
    <cellStyle name="Normal 6 2 2 2 2 71 3" xfId="21575"/>
    <cellStyle name="Normal 6 2 2 2 2 71 4" xfId="26618"/>
    <cellStyle name="Normal 6 2 2 2 2 71 5" xfId="31579"/>
    <cellStyle name="Normal 6 2 2 2 2 71 6" xfId="36437"/>
    <cellStyle name="Normal 6 2 2 2 2 71 7" xfId="41168"/>
    <cellStyle name="Normal 6 2 2 2 2 72" xfId="9539"/>
    <cellStyle name="Normal 6 2 2 2 2 72 2" xfId="16620"/>
    <cellStyle name="Normal 6 2 2 2 2 72 3" xfId="21737"/>
    <cellStyle name="Normal 6 2 2 2 2 72 4" xfId="26780"/>
    <cellStyle name="Normal 6 2 2 2 2 72 5" xfId="31741"/>
    <cellStyle name="Normal 6 2 2 2 2 72 6" xfId="36599"/>
    <cellStyle name="Normal 6 2 2 2 2 72 7" xfId="41330"/>
    <cellStyle name="Normal 6 2 2 2 2 73" xfId="9302"/>
    <cellStyle name="Normal 6 2 2 2 2 73 2" xfId="16383"/>
    <cellStyle name="Normal 6 2 2 2 2 73 3" xfId="21500"/>
    <cellStyle name="Normal 6 2 2 2 2 73 4" xfId="26543"/>
    <cellStyle name="Normal 6 2 2 2 2 73 5" xfId="31504"/>
    <cellStyle name="Normal 6 2 2 2 2 73 6" xfId="36362"/>
    <cellStyle name="Normal 6 2 2 2 2 73 7" xfId="41093"/>
    <cellStyle name="Normal 6 2 2 2 2 74" xfId="9598"/>
    <cellStyle name="Normal 6 2 2 2 2 74 2" xfId="16679"/>
    <cellStyle name="Normal 6 2 2 2 2 74 3" xfId="21796"/>
    <cellStyle name="Normal 6 2 2 2 2 74 4" xfId="26839"/>
    <cellStyle name="Normal 6 2 2 2 2 74 5" xfId="31800"/>
    <cellStyle name="Normal 6 2 2 2 2 74 6" xfId="36658"/>
    <cellStyle name="Normal 6 2 2 2 2 74 7" xfId="41389"/>
    <cellStyle name="Normal 6 2 2 2 2 75" xfId="9882"/>
    <cellStyle name="Normal 6 2 2 2 2 75 2" xfId="16963"/>
    <cellStyle name="Normal 6 2 2 2 2 75 3" xfId="22080"/>
    <cellStyle name="Normal 6 2 2 2 2 75 4" xfId="27123"/>
    <cellStyle name="Normal 6 2 2 2 2 75 5" xfId="32084"/>
    <cellStyle name="Normal 6 2 2 2 2 75 6" xfId="36942"/>
    <cellStyle name="Normal 6 2 2 2 2 75 7" xfId="41673"/>
    <cellStyle name="Normal 6 2 2 2 2 76" xfId="9810"/>
    <cellStyle name="Normal 6 2 2 2 2 76 2" xfId="16891"/>
    <cellStyle name="Normal 6 2 2 2 2 76 3" xfId="22008"/>
    <cellStyle name="Normal 6 2 2 2 2 76 4" xfId="27051"/>
    <cellStyle name="Normal 6 2 2 2 2 76 5" xfId="32012"/>
    <cellStyle name="Normal 6 2 2 2 2 76 6" xfId="36870"/>
    <cellStyle name="Normal 6 2 2 2 2 76 7" xfId="41601"/>
    <cellStyle name="Normal 6 2 2 2 2 77" xfId="9941"/>
    <cellStyle name="Normal 6 2 2 2 2 77 2" xfId="17022"/>
    <cellStyle name="Normal 6 2 2 2 2 77 3" xfId="22139"/>
    <cellStyle name="Normal 6 2 2 2 2 77 4" xfId="27182"/>
    <cellStyle name="Normal 6 2 2 2 2 77 5" xfId="32143"/>
    <cellStyle name="Normal 6 2 2 2 2 77 6" xfId="37001"/>
    <cellStyle name="Normal 6 2 2 2 2 77 7" xfId="41732"/>
    <cellStyle name="Normal 6 2 2 2 2 78" xfId="9965"/>
    <cellStyle name="Normal 6 2 2 2 2 78 2" xfId="17046"/>
    <cellStyle name="Normal 6 2 2 2 2 78 3" xfId="22163"/>
    <cellStyle name="Normal 6 2 2 2 2 78 4" xfId="27206"/>
    <cellStyle name="Normal 6 2 2 2 2 78 5" xfId="32167"/>
    <cellStyle name="Normal 6 2 2 2 2 78 6" xfId="37025"/>
    <cellStyle name="Normal 6 2 2 2 2 78 7" xfId="41756"/>
    <cellStyle name="Normal 6 2 2 2 2 79" xfId="9864"/>
    <cellStyle name="Normal 6 2 2 2 2 79 2" xfId="16945"/>
    <cellStyle name="Normal 6 2 2 2 2 79 3" xfId="22062"/>
    <cellStyle name="Normal 6 2 2 2 2 79 4" xfId="27105"/>
    <cellStyle name="Normal 6 2 2 2 2 79 5" xfId="32066"/>
    <cellStyle name="Normal 6 2 2 2 2 79 6" xfId="36924"/>
    <cellStyle name="Normal 6 2 2 2 2 79 7" xfId="41655"/>
    <cellStyle name="Normal 6 2 2 2 2 8" xfId="4536"/>
    <cellStyle name="Normal 6 2 2 2 2 8 2" xfId="6352"/>
    <cellStyle name="Normal 6 2 2 2 2 8 3" xfId="18460"/>
    <cellStyle name="Normal 6 2 2 2 2 8 4" xfId="23503"/>
    <cellStyle name="Normal 6 2 2 2 2 8 5" xfId="28464"/>
    <cellStyle name="Normal 6 2 2 2 2 8 6" xfId="33322"/>
    <cellStyle name="Normal 6 2 2 2 2 8 7" xfId="38053"/>
    <cellStyle name="Normal 6 2 2 2 2 80" xfId="9960"/>
    <cellStyle name="Normal 6 2 2 2 2 80 2" xfId="17041"/>
    <cellStyle name="Normal 6 2 2 2 2 80 3" xfId="22158"/>
    <cellStyle name="Normal 6 2 2 2 2 80 4" xfId="27201"/>
    <cellStyle name="Normal 6 2 2 2 2 80 5" xfId="32162"/>
    <cellStyle name="Normal 6 2 2 2 2 80 6" xfId="37020"/>
    <cellStyle name="Normal 6 2 2 2 2 80 7" xfId="41751"/>
    <cellStyle name="Normal 6 2 2 2 2 81" xfId="10212"/>
    <cellStyle name="Normal 6 2 2 2 2 81 2" xfId="17293"/>
    <cellStyle name="Normal 6 2 2 2 2 81 3" xfId="22410"/>
    <cellStyle name="Normal 6 2 2 2 2 81 4" xfId="27453"/>
    <cellStyle name="Normal 6 2 2 2 2 81 5" xfId="32414"/>
    <cellStyle name="Normal 6 2 2 2 2 81 6" xfId="37272"/>
    <cellStyle name="Normal 6 2 2 2 2 81 7" xfId="42003"/>
    <cellStyle name="Normal 6 2 2 2 2 82" xfId="10140"/>
    <cellStyle name="Normal 6 2 2 2 2 82 2" xfId="17221"/>
    <cellStyle name="Normal 6 2 2 2 2 82 3" xfId="22338"/>
    <cellStyle name="Normal 6 2 2 2 2 82 4" xfId="27381"/>
    <cellStyle name="Normal 6 2 2 2 2 82 5" xfId="32342"/>
    <cellStyle name="Normal 6 2 2 2 2 82 6" xfId="37200"/>
    <cellStyle name="Normal 6 2 2 2 2 82 7" xfId="41931"/>
    <cellStyle name="Normal 6 2 2 2 2 83" xfId="10271"/>
    <cellStyle name="Normal 6 2 2 2 2 83 2" xfId="17352"/>
    <cellStyle name="Normal 6 2 2 2 2 83 3" xfId="22469"/>
    <cellStyle name="Normal 6 2 2 2 2 83 4" xfId="27512"/>
    <cellStyle name="Normal 6 2 2 2 2 83 5" xfId="32473"/>
    <cellStyle name="Normal 6 2 2 2 2 83 6" xfId="37331"/>
    <cellStyle name="Normal 6 2 2 2 2 83 7" xfId="42062"/>
    <cellStyle name="Normal 6 2 2 2 2 84" xfId="10295"/>
    <cellStyle name="Normal 6 2 2 2 2 84 2" xfId="17376"/>
    <cellStyle name="Normal 6 2 2 2 2 84 3" xfId="22493"/>
    <cellStyle name="Normal 6 2 2 2 2 84 4" xfId="27536"/>
    <cellStyle name="Normal 6 2 2 2 2 84 5" xfId="32497"/>
    <cellStyle name="Normal 6 2 2 2 2 84 6" xfId="37355"/>
    <cellStyle name="Normal 6 2 2 2 2 84 7" xfId="42086"/>
    <cellStyle name="Normal 6 2 2 2 2 85" xfId="10194"/>
    <cellStyle name="Normal 6 2 2 2 2 85 2" xfId="17275"/>
    <cellStyle name="Normal 6 2 2 2 2 85 3" xfId="22392"/>
    <cellStyle name="Normal 6 2 2 2 2 85 4" xfId="27435"/>
    <cellStyle name="Normal 6 2 2 2 2 85 5" xfId="32396"/>
    <cellStyle name="Normal 6 2 2 2 2 85 6" xfId="37254"/>
    <cellStyle name="Normal 6 2 2 2 2 85 7" xfId="41985"/>
    <cellStyle name="Normal 6 2 2 2 2 86" xfId="10290"/>
    <cellStyle name="Normal 6 2 2 2 2 86 2" xfId="17371"/>
    <cellStyle name="Normal 6 2 2 2 2 86 3" xfId="22488"/>
    <cellStyle name="Normal 6 2 2 2 2 86 4" xfId="27531"/>
    <cellStyle name="Normal 6 2 2 2 2 86 5" xfId="32492"/>
    <cellStyle name="Normal 6 2 2 2 2 86 6" xfId="37350"/>
    <cellStyle name="Normal 6 2 2 2 2 86 7" xfId="42081"/>
    <cellStyle name="Normal 6 2 2 2 2 87" xfId="13027"/>
    <cellStyle name="Normal 6 2 2 2 2 88" xfId="12912"/>
    <cellStyle name="Normal 6 2 2 2 2 89" xfId="13423"/>
    <cellStyle name="Normal 6 2 2 2 2 9" xfId="4595"/>
    <cellStyle name="Normal 6 2 2 2 2 9 2" xfId="6043"/>
    <cellStyle name="Normal 6 2 2 2 2 9 3" xfId="18147"/>
    <cellStyle name="Normal 6 2 2 2 2 9 4" xfId="23190"/>
    <cellStyle name="Normal 6 2 2 2 2 9 5" xfId="28151"/>
    <cellStyle name="Normal 6 2 2 2 2 9 6" xfId="33009"/>
    <cellStyle name="Normal 6 2 2 2 2 9 7" xfId="37740"/>
    <cellStyle name="Normal 6 2 2 2 2 90" xfId="11798"/>
    <cellStyle name="Normal 6 2 2 2 2 91" xfId="13308"/>
    <cellStyle name="Normal 6 2 2 2 2 92" xfId="12932"/>
    <cellStyle name="Normal 6 2 2 2 20" xfId="5422"/>
    <cellStyle name="Normal 6 2 2 2 20 2" xfId="6742"/>
    <cellStyle name="Normal 6 2 2 2 20 3" xfId="18863"/>
    <cellStyle name="Normal 6 2 2 2 20 4" xfId="23906"/>
    <cellStyle name="Normal 6 2 2 2 20 5" xfId="28867"/>
    <cellStyle name="Normal 6 2 2 2 20 6" xfId="33725"/>
    <cellStyle name="Normal 6 2 2 2 20 7" xfId="38456"/>
    <cellStyle name="Normal 6 2 2 2 21" xfId="5380"/>
    <cellStyle name="Normal 6 2 2 2 21 2" xfId="6817"/>
    <cellStyle name="Normal 6 2 2 2 21 3" xfId="18938"/>
    <cellStyle name="Normal 6 2 2 2 21 4" xfId="23981"/>
    <cellStyle name="Normal 6 2 2 2 21 5" xfId="28942"/>
    <cellStyle name="Normal 6 2 2 2 21 6" xfId="33800"/>
    <cellStyle name="Normal 6 2 2 2 21 7" xfId="38531"/>
    <cellStyle name="Normal 6 2 2 2 22" xfId="5531"/>
    <cellStyle name="Normal 6 2 2 2 22 2" xfId="6810"/>
    <cellStyle name="Normal 6 2 2 2 22 3" xfId="18931"/>
    <cellStyle name="Normal 6 2 2 2 22 4" xfId="23974"/>
    <cellStyle name="Normal 6 2 2 2 22 5" xfId="28935"/>
    <cellStyle name="Normal 6 2 2 2 22 6" xfId="33793"/>
    <cellStyle name="Normal 6 2 2 2 22 7" xfId="38524"/>
    <cellStyle name="Normal 6 2 2 2 23" xfId="5512"/>
    <cellStyle name="Normal 6 2 2 2 23 2" xfId="7166"/>
    <cellStyle name="Normal 6 2 2 2 23 3" xfId="19321"/>
    <cellStyle name="Normal 6 2 2 2 23 4" xfId="24364"/>
    <cellStyle name="Normal 6 2 2 2 23 5" xfId="29325"/>
    <cellStyle name="Normal 6 2 2 2 23 6" xfId="34183"/>
    <cellStyle name="Normal 6 2 2 2 23 7" xfId="38914"/>
    <cellStyle name="Normal 6 2 2 2 24" xfId="5284"/>
    <cellStyle name="Normal 6 2 2 2 24 2" xfId="7115"/>
    <cellStyle name="Normal 6 2 2 2 24 3" xfId="19261"/>
    <cellStyle name="Normal 6 2 2 2 24 4" xfId="24304"/>
    <cellStyle name="Normal 6 2 2 2 24 5" xfId="29265"/>
    <cellStyle name="Normal 6 2 2 2 24 6" xfId="34123"/>
    <cellStyle name="Normal 6 2 2 2 24 7" xfId="38854"/>
    <cellStyle name="Normal 6 2 2 2 25" xfId="5227"/>
    <cellStyle name="Normal 6 2 2 2 25 2" xfId="7284"/>
    <cellStyle name="Normal 6 2 2 2 25 3" xfId="19451"/>
    <cellStyle name="Normal 6 2 2 2 25 4" xfId="24494"/>
    <cellStyle name="Normal 6 2 2 2 25 5" xfId="29455"/>
    <cellStyle name="Normal 6 2 2 2 25 6" xfId="34313"/>
    <cellStyle name="Normal 6 2 2 2 25 7" xfId="39044"/>
    <cellStyle name="Normal 6 2 2 2 26" xfId="5328"/>
    <cellStyle name="Normal 6 2 2 2 26 2" xfId="7260"/>
    <cellStyle name="Normal 6 2 2 2 26 3" xfId="19424"/>
    <cellStyle name="Normal 6 2 2 2 26 4" xfId="24467"/>
    <cellStyle name="Normal 6 2 2 2 26 5" xfId="29428"/>
    <cellStyle name="Normal 6 2 2 2 26 6" xfId="34286"/>
    <cellStyle name="Normal 6 2 2 2 26 7" xfId="39017"/>
    <cellStyle name="Normal 6 2 2 2 27" xfId="5511"/>
    <cellStyle name="Normal 6 2 2 2 27 2" xfId="6992"/>
    <cellStyle name="Normal 6 2 2 2 27 3" xfId="19128"/>
    <cellStyle name="Normal 6 2 2 2 27 4" xfId="24171"/>
    <cellStyle name="Normal 6 2 2 2 27 5" xfId="29132"/>
    <cellStyle name="Normal 6 2 2 2 27 6" xfId="33990"/>
    <cellStyle name="Normal 6 2 2 2 27 7" xfId="38721"/>
    <cellStyle name="Normal 6 2 2 2 28" xfId="5261"/>
    <cellStyle name="Normal 6 2 2 2 28 2" xfId="6931"/>
    <cellStyle name="Normal 6 2 2 2 28 3" xfId="19059"/>
    <cellStyle name="Normal 6 2 2 2 28 4" xfId="24102"/>
    <cellStyle name="Normal 6 2 2 2 28 5" xfId="29063"/>
    <cellStyle name="Normal 6 2 2 2 28 6" xfId="33921"/>
    <cellStyle name="Normal 6 2 2 2 28 7" xfId="38652"/>
    <cellStyle name="Normal 6 2 2 2 29" xfId="5774"/>
    <cellStyle name="Normal 6 2 2 2 29 2" xfId="14264"/>
    <cellStyle name="Normal 6 2 2 2 29 3" xfId="19092"/>
    <cellStyle name="Normal 6 2 2 2 29 4" xfId="24135"/>
    <cellStyle name="Normal 6 2 2 2 29 5" xfId="29096"/>
    <cellStyle name="Normal 6 2 2 2 29 6" xfId="33954"/>
    <cellStyle name="Normal 6 2 2 2 29 7" xfId="38685"/>
    <cellStyle name="Normal 6 2 2 2 3" xfId="4288"/>
    <cellStyle name="Normal 6 2 2 2 3 2" xfId="6200"/>
    <cellStyle name="Normal 6 2 2 2 3 3" xfId="18304"/>
    <cellStyle name="Normal 6 2 2 2 3 4" xfId="23347"/>
    <cellStyle name="Normal 6 2 2 2 3 5" xfId="28308"/>
    <cellStyle name="Normal 6 2 2 2 3 6" xfId="33166"/>
    <cellStyle name="Normal 6 2 2 2 3 7" xfId="37897"/>
    <cellStyle name="Normal 6 2 2 2 30" xfId="6897"/>
    <cellStyle name="Normal 6 2 2 2 30 2" xfId="14232"/>
    <cellStyle name="Normal 6 2 2 2 30 3" xfId="19021"/>
    <cellStyle name="Normal 6 2 2 2 30 4" xfId="24064"/>
    <cellStyle name="Normal 6 2 2 2 30 5" xfId="29025"/>
    <cellStyle name="Normal 6 2 2 2 30 6" xfId="33883"/>
    <cellStyle name="Normal 6 2 2 2 30 7" xfId="38614"/>
    <cellStyle name="Normal 6 2 2 2 31" xfId="7295"/>
    <cellStyle name="Normal 6 2 2 2 31 2" xfId="14439"/>
    <cellStyle name="Normal 6 2 2 2 31 3" xfId="19462"/>
    <cellStyle name="Normal 6 2 2 2 31 4" xfId="24505"/>
    <cellStyle name="Normal 6 2 2 2 31 5" xfId="29466"/>
    <cellStyle name="Normal 6 2 2 2 31 6" xfId="34324"/>
    <cellStyle name="Normal 6 2 2 2 31 7" xfId="39055"/>
    <cellStyle name="Normal 6 2 2 2 32" xfId="7036"/>
    <cellStyle name="Normal 6 2 2 2 32 2" xfId="14307"/>
    <cellStyle name="Normal 6 2 2 2 32 3" xfId="19177"/>
    <cellStyle name="Normal 6 2 2 2 32 4" xfId="24220"/>
    <cellStyle name="Normal 6 2 2 2 32 5" xfId="29181"/>
    <cellStyle name="Normal 6 2 2 2 32 6" xfId="34039"/>
    <cellStyle name="Normal 6 2 2 2 32 7" xfId="38770"/>
    <cellStyle name="Normal 6 2 2 2 33" xfId="6896"/>
    <cellStyle name="Normal 6 2 2 2 33 2" xfId="14231"/>
    <cellStyle name="Normal 6 2 2 2 33 3" xfId="19020"/>
    <cellStyle name="Normal 6 2 2 2 33 4" xfId="24063"/>
    <cellStyle name="Normal 6 2 2 2 33 5" xfId="29024"/>
    <cellStyle name="Normal 6 2 2 2 33 6" xfId="33882"/>
    <cellStyle name="Normal 6 2 2 2 33 7" xfId="38613"/>
    <cellStyle name="Normal 6 2 2 2 34" xfId="7341"/>
    <cellStyle name="Normal 6 2 2 2 34 2" xfId="14463"/>
    <cellStyle name="Normal 6 2 2 2 34 3" xfId="19513"/>
    <cellStyle name="Normal 6 2 2 2 34 4" xfId="24556"/>
    <cellStyle name="Normal 6 2 2 2 34 5" xfId="29517"/>
    <cellStyle name="Normal 6 2 2 2 34 6" xfId="34375"/>
    <cellStyle name="Normal 6 2 2 2 34 7" xfId="39106"/>
    <cellStyle name="Normal 6 2 2 2 35" xfId="7827"/>
    <cellStyle name="Normal 6 2 2 2 35 2" xfId="14907"/>
    <cellStyle name="Normal 6 2 2 2 35 3" xfId="20024"/>
    <cellStyle name="Normal 6 2 2 2 35 4" xfId="25067"/>
    <cellStyle name="Normal 6 2 2 2 35 5" xfId="30028"/>
    <cellStyle name="Normal 6 2 2 2 35 6" xfId="34886"/>
    <cellStyle name="Normal 6 2 2 2 35 7" xfId="39617"/>
    <cellStyle name="Normal 6 2 2 2 36" xfId="7760"/>
    <cellStyle name="Normal 6 2 2 2 36 2" xfId="14840"/>
    <cellStyle name="Normal 6 2 2 2 36 3" xfId="19957"/>
    <cellStyle name="Normal 6 2 2 2 36 4" xfId="25000"/>
    <cellStyle name="Normal 6 2 2 2 36 5" xfId="29961"/>
    <cellStyle name="Normal 6 2 2 2 36 6" xfId="34819"/>
    <cellStyle name="Normal 6 2 2 2 36 7" xfId="39550"/>
    <cellStyle name="Normal 6 2 2 2 37" xfId="7981"/>
    <cellStyle name="Normal 6 2 2 2 37 2" xfId="15061"/>
    <cellStyle name="Normal 6 2 2 2 37 3" xfId="20178"/>
    <cellStyle name="Normal 6 2 2 2 37 4" xfId="25221"/>
    <cellStyle name="Normal 6 2 2 2 37 5" xfId="30182"/>
    <cellStyle name="Normal 6 2 2 2 37 6" xfId="35040"/>
    <cellStyle name="Normal 6 2 2 2 37 7" xfId="39771"/>
    <cellStyle name="Normal 6 2 2 2 38" xfId="7946"/>
    <cellStyle name="Normal 6 2 2 2 38 2" xfId="15026"/>
    <cellStyle name="Normal 6 2 2 2 38 3" xfId="20143"/>
    <cellStyle name="Normal 6 2 2 2 38 4" xfId="25186"/>
    <cellStyle name="Normal 6 2 2 2 38 5" xfId="30147"/>
    <cellStyle name="Normal 6 2 2 2 38 6" xfId="35005"/>
    <cellStyle name="Normal 6 2 2 2 38 7" xfId="39736"/>
    <cellStyle name="Normal 6 2 2 2 39" xfId="7613"/>
    <cellStyle name="Normal 6 2 2 2 39 2" xfId="14693"/>
    <cellStyle name="Normal 6 2 2 2 39 3" xfId="19810"/>
    <cellStyle name="Normal 6 2 2 2 39 4" xfId="24853"/>
    <cellStyle name="Normal 6 2 2 2 39 5" xfId="29814"/>
    <cellStyle name="Normal 6 2 2 2 39 6" xfId="34672"/>
    <cellStyle name="Normal 6 2 2 2 39 7" xfId="39403"/>
    <cellStyle name="Normal 6 2 2 2 4" xfId="4277"/>
    <cellStyle name="Normal 6 2 2 2 4 2" xfId="6123"/>
    <cellStyle name="Normal 6 2 2 2 4 3" xfId="18227"/>
    <cellStyle name="Normal 6 2 2 2 4 4" xfId="23270"/>
    <cellStyle name="Normal 6 2 2 2 4 5" xfId="28231"/>
    <cellStyle name="Normal 6 2 2 2 4 6" xfId="33089"/>
    <cellStyle name="Normal 6 2 2 2 4 7" xfId="37820"/>
    <cellStyle name="Normal 6 2 2 2 40" xfId="7531"/>
    <cellStyle name="Normal 6 2 2 2 40 2" xfId="14609"/>
    <cellStyle name="Normal 6 2 2 2 40 3" xfId="19726"/>
    <cellStyle name="Normal 6 2 2 2 40 4" xfId="24769"/>
    <cellStyle name="Normal 6 2 2 2 40 5" xfId="29730"/>
    <cellStyle name="Normal 6 2 2 2 40 6" xfId="34588"/>
    <cellStyle name="Normal 6 2 2 2 40 7" xfId="39319"/>
    <cellStyle name="Normal 6 2 2 2 41" xfId="7566"/>
    <cellStyle name="Normal 6 2 2 2 41 2" xfId="14646"/>
    <cellStyle name="Normal 6 2 2 2 41 3" xfId="19763"/>
    <cellStyle name="Normal 6 2 2 2 41 4" xfId="24806"/>
    <cellStyle name="Normal 6 2 2 2 41 5" xfId="29767"/>
    <cellStyle name="Normal 6 2 2 2 41 6" xfId="34625"/>
    <cellStyle name="Normal 6 2 2 2 41 7" xfId="39356"/>
    <cellStyle name="Normal 6 2 2 2 42" xfId="7489"/>
    <cellStyle name="Normal 6 2 2 2 42 2" xfId="14565"/>
    <cellStyle name="Normal 6 2 2 2 42 3" xfId="19682"/>
    <cellStyle name="Normal 6 2 2 2 42 4" xfId="24725"/>
    <cellStyle name="Normal 6 2 2 2 42 5" xfId="29686"/>
    <cellStyle name="Normal 6 2 2 2 42 6" xfId="34544"/>
    <cellStyle name="Normal 6 2 2 2 42 7" xfId="39275"/>
    <cellStyle name="Normal 6 2 2 2 43" xfId="7995"/>
    <cellStyle name="Normal 6 2 2 2 43 2" xfId="15075"/>
    <cellStyle name="Normal 6 2 2 2 43 3" xfId="20192"/>
    <cellStyle name="Normal 6 2 2 2 43 4" xfId="25235"/>
    <cellStyle name="Normal 6 2 2 2 43 5" xfId="30196"/>
    <cellStyle name="Normal 6 2 2 2 43 6" xfId="35054"/>
    <cellStyle name="Normal 6 2 2 2 43 7" xfId="39785"/>
    <cellStyle name="Normal 6 2 2 2 44" xfId="7666"/>
    <cellStyle name="Normal 6 2 2 2 44 2" xfId="14746"/>
    <cellStyle name="Normal 6 2 2 2 44 3" xfId="19863"/>
    <cellStyle name="Normal 6 2 2 2 44 4" xfId="24906"/>
    <cellStyle name="Normal 6 2 2 2 44 5" xfId="29867"/>
    <cellStyle name="Normal 6 2 2 2 44 6" xfId="34725"/>
    <cellStyle name="Normal 6 2 2 2 44 7" xfId="39456"/>
    <cellStyle name="Normal 6 2 2 2 45" xfId="7488"/>
    <cellStyle name="Normal 6 2 2 2 45 2" xfId="14564"/>
    <cellStyle name="Normal 6 2 2 2 45 3" xfId="19681"/>
    <cellStyle name="Normal 6 2 2 2 45 4" xfId="24724"/>
    <cellStyle name="Normal 6 2 2 2 45 5" xfId="29685"/>
    <cellStyle name="Normal 6 2 2 2 45 6" xfId="34543"/>
    <cellStyle name="Normal 6 2 2 2 45 7" xfId="39274"/>
    <cellStyle name="Normal 6 2 2 2 46" xfId="8058"/>
    <cellStyle name="Normal 6 2 2 2 46 2" xfId="15138"/>
    <cellStyle name="Normal 6 2 2 2 46 3" xfId="20255"/>
    <cellStyle name="Normal 6 2 2 2 46 4" xfId="25298"/>
    <cellStyle name="Normal 6 2 2 2 46 5" xfId="30259"/>
    <cellStyle name="Normal 6 2 2 2 46 6" xfId="35117"/>
    <cellStyle name="Normal 6 2 2 2 46 7" xfId="39848"/>
    <cellStyle name="Normal 6 2 2 2 47" xfId="8008"/>
    <cellStyle name="Normal 6 2 2 2 47 2" xfId="15088"/>
    <cellStyle name="Normal 6 2 2 2 47 3" xfId="20205"/>
    <cellStyle name="Normal 6 2 2 2 47 4" xfId="25248"/>
    <cellStyle name="Normal 6 2 2 2 47 5" xfId="30209"/>
    <cellStyle name="Normal 6 2 2 2 47 6" xfId="35067"/>
    <cellStyle name="Normal 6 2 2 2 47 7" xfId="39798"/>
    <cellStyle name="Normal 6 2 2 2 48" xfId="7957"/>
    <cellStyle name="Normal 6 2 2 2 48 2" xfId="15037"/>
    <cellStyle name="Normal 6 2 2 2 48 3" xfId="20154"/>
    <cellStyle name="Normal 6 2 2 2 48 4" xfId="25197"/>
    <cellStyle name="Normal 6 2 2 2 48 5" xfId="30158"/>
    <cellStyle name="Normal 6 2 2 2 48 6" xfId="35016"/>
    <cellStyle name="Normal 6 2 2 2 48 7" xfId="39747"/>
    <cellStyle name="Normal 6 2 2 2 49" xfId="8623"/>
    <cellStyle name="Normal 6 2 2 2 49 2" xfId="15704"/>
    <cellStyle name="Normal 6 2 2 2 49 3" xfId="20821"/>
    <cellStyle name="Normal 6 2 2 2 49 4" xfId="25864"/>
    <cellStyle name="Normal 6 2 2 2 49 5" xfId="30825"/>
    <cellStyle name="Normal 6 2 2 2 49 6" xfId="35683"/>
    <cellStyle name="Normal 6 2 2 2 49 7" xfId="40414"/>
    <cellStyle name="Normal 6 2 2 2 5" xfId="4322"/>
    <cellStyle name="Normal 6 2 2 2 5 2" xfId="6371"/>
    <cellStyle name="Normal 6 2 2 2 5 3" xfId="18480"/>
    <cellStyle name="Normal 6 2 2 2 5 4" xfId="23523"/>
    <cellStyle name="Normal 6 2 2 2 5 5" xfId="28484"/>
    <cellStyle name="Normal 6 2 2 2 5 6" xfId="33342"/>
    <cellStyle name="Normal 6 2 2 2 5 7" xfId="38073"/>
    <cellStyle name="Normal 6 2 2 2 50" xfId="8548"/>
    <cellStyle name="Normal 6 2 2 2 50 2" xfId="15629"/>
    <cellStyle name="Normal 6 2 2 2 50 3" xfId="20746"/>
    <cellStyle name="Normal 6 2 2 2 50 4" xfId="25789"/>
    <cellStyle name="Normal 6 2 2 2 50 5" xfId="30750"/>
    <cellStyle name="Normal 6 2 2 2 50 6" xfId="35608"/>
    <cellStyle name="Normal 6 2 2 2 50 7" xfId="40339"/>
    <cellStyle name="Normal 6 2 2 2 51" xfId="8781"/>
    <cellStyle name="Normal 6 2 2 2 51 2" xfId="15862"/>
    <cellStyle name="Normal 6 2 2 2 51 3" xfId="20979"/>
    <cellStyle name="Normal 6 2 2 2 51 4" xfId="26022"/>
    <cellStyle name="Normal 6 2 2 2 51 5" xfId="30983"/>
    <cellStyle name="Normal 6 2 2 2 51 6" xfId="35841"/>
    <cellStyle name="Normal 6 2 2 2 51 7" xfId="40572"/>
    <cellStyle name="Normal 6 2 2 2 52" xfId="8742"/>
    <cellStyle name="Normal 6 2 2 2 52 2" xfId="15823"/>
    <cellStyle name="Normal 6 2 2 2 52 3" xfId="20940"/>
    <cellStyle name="Normal 6 2 2 2 52 4" xfId="25983"/>
    <cellStyle name="Normal 6 2 2 2 52 5" xfId="30944"/>
    <cellStyle name="Normal 6 2 2 2 52 6" xfId="35802"/>
    <cellStyle name="Normal 6 2 2 2 52 7" xfId="40533"/>
    <cellStyle name="Normal 6 2 2 2 53" xfId="8389"/>
    <cellStyle name="Normal 6 2 2 2 53 2" xfId="15470"/>
    <cellStyle name="Normal 6 2 2 2 53 3" xfId="20587"/>
    <cellStyle name="Normal 6 2 2 2 53 4" xfId="25630"/>
    <cellStyle name="Normal 6 2 2 2 53 5" xfId="30591"/>
    <cellStyle name="Normal 6 2 2 2 53 6" xfId="35449"/>
    <cellStyle name="Normal 6 2 2 2 53 7" xfId="40180"/>
    <cellStyle name="Normal 6 2 2 2 54" xfId="8312"/>
    <cellStyle name="Normal 6 2 2 2 54 2" xfId="15393"/>
    <cellStyle name="Normal 6 2 2 2 54 3" xfId="20510"/>
    <cellStyle name="Normal 6 2 2 2 54 4" xfId="25553"/>
    <cellStyle name="Normal 6 2 2 2 54 5" xfId="30514"/>
    <cellStyle name="Normal 6 2 2 2 54 6" xfId="35372"/>
    <cellStyle name="Normal 6 2 2 2 54 7" xfId="40103"/>
    <cellStyle name="Normal 6 2 2 2 55" xfId="8351"/>
    <cellStyle name="Normal 6 2 2 2 55 2" xfId="15432"/>
    <cellStyle name="Normal 6 2 2 2 55 3" xfId="20549"/>
    <cellStyle name="Normal 6 2 2 2 55 4" xfId="25592"/>
    <cellStyle name="Normal 6 2 2 2 55 5" xfId="30553"/>
    <cellStyle name="Normal 6 2 2 2 55 6" xfId="35411"/>
    <cellStyle name="Normal 6 2 2 2 55 7" xfId="40142"/>
    <cellStyle name="Normal 6 2 2 2 56" xfId="8392"/>
    <cellStyle name="Normal 6 2 2 2 56 2" xfId="15473"/>
    <cellStyle name="Normal 6 2 2 2 56 3" xfId="20590"/>
    <cellStyle name="Normal 6 2 2 2 56 4" xfId="25633"/>
    <cellStyle name="Normal 6 2 2 2 56 5" xfId="30594"/>
    <cellStyle name="Normal 6 2 2 2 56 6" xfId="35452"/>
    <cellStyle name="Normal 6 2 2 2 56 7" xfId="40183"/>
    <cellStyle name="Normal 6 2 2 2 57" xfId="8526"/>
    <cellStyle name="Normal 6 2 2 2 57 2" xfId="15607"/>
    <cellStyle name="Normal 6 2 2 2 57 3" xfId="20724"/>
    <cellStyle name="Normal 6 2 2 2 57 4" xfId="25767"/>
    <cellStyle name="Normal 6 2 2 2 57 5" xfId="30728"/>
    <cellStyle name="Normal 6 2 2 2 57 6" xfId="35586"/>
    <cellStyle name="Normal 6 2 2 2 57 7" xfId="40317"/>
    <cellStyle name="Normal 6 2 2 2 58" xfId="8505"/>
    <cellStyle name="Normal 6 2 2 2 58 2" xfId="15586"/>
    <cellStyle name="Normal 6 2 2 2 58 3" xfId="20703"/>
    <cellStyle name="Normal 6 2 2 2 58 4" xfId="25746"/>
    <cellStyle name="Normal 6 2 2 2 58 5" xfId="30707"/>
    <cellStyle name="Normal 6 2 2 2 58 6" xfId="35565"/>
    <cellStyle name="Normal 6 2 2 2 58 7" xfId="40296"/>
    <cellStyle name="Normal 6 2 2 2 59" xfId="8545"/>
    <cellStyle name="Normal 6 2 2 2 59 2" xfId="15626"/>
    <cellStyle name="Normal 6 2 2 2 59 3" xfId="20743"/>
    <cellStyle name="Normal 6 2 2 2 59 4" xfId="25786"/>
    <cellStyle name="Normal 6 2 2 2 59 5" xfId="30747"/>
    <cellStyle name="Normal 6 2 2 2 59 6" xfId="35605"/>
    <cellStyle name="Normal 6 2 2 2 59 7" xfId="40336"/>
    <cellStyle name="Normal 6 2 2 2 6" xfId="4406"/>
    <cellStyle name="Normal 6 2 2 2 6 2" xfId="6334"/>
    <cellStyle name="Normal 6 2 2 2 6 3" xfId="18442"/>
    <cellStyle name="Normal 6 2 2 2 6 4" xfId="23485"/>
    <cellStyle name="Normal 6 2 2 2 6 5" xfId="28446"/>
    <cellStyle name="Normal 6 2 2 2 6 6" xfId="33304"/>
    <cellStyle name="Normal 6 2 2 2 6 7" xfId="38035"/>
    <cellStyle name="Normal 6 2 2 2 60" xfId="8377"/>
    <cellStyle name="Normal 6 2 2 2 60 2" xfId="15458"/>
    <cellStyle name="Normal 6 2 2 2 60 3" xfId="20575"/>
    <cellStyle name="Normal 6 2 2 2 60 4" xfId="25618"/>
    <cellStyle name="Normal 6 2 2 2 60 5" xfId="30579"/>
    <cellStyle name="Normal 6 2 2 2 60 6" xfId="35437"/>
    <cellStyle name="Normal 6 2 2 2 60 7" xfId="40168"/>
    <cellStyle name="Normal 6 2 2 2 61" xfId="8884"/>
    <cellStyle name="Normal 6 2 2 2 61 2" xfId="15965"/>
    <cellStyle name="Normal 6 2 2 2 61 3" xfId="21082"/>
    <cellStyle name="Normal 6 2 2 2 61 4" xfId="26125"/>
    <cellStyle name="Normal 6 2 2 2 61 5" xfId="31086"/>
    <cellStyle name="Normal 6 2 2 2 61 6" xfId="35944"/>
    <cellStyle name="Normal 6 2 2 2 61 7" xfId="40675"/>
    <cellStyle name="Normal 6 2 2 2 62" xfId="8608"/>
    <cellStyle name="Normal 6 2 2 2 62 2" xfId="15689"/>
    <cellStyle name="Normal 6 2 2 2 62 3" xfId="20806"/>
    <cellStyle name="Normal 6 2 2 2 62 4" xfId="25849"/>
    <cellStyle name="Normal 6 2 2 2 62 5" xfId="30810"/>
    <cellStyle name="Normal 6 2 2 2 62 6" xfId="35668"/>
    <cellStyle name="Normal 6 2 2 2 62 7" xfId="40399"/>
    <cellStyle name="Normal 6 2 2 2 63" xfId="8659"/>
    <cellStyle name="Normal 6 2 2 2 63 2" xfId="15740"/>
    <cellStyle name="Normal 6 2 2 2 63 3" xfId="20857"/>
    <cellStyle name="Normal 6 2 2 2 63 4" xfId="25900"/>
    <cellStyle name="Normal 6 2 2 2 63 5" xfId="30861"/>
    <cellStyle name="Normal 6 2 2 2 63 6" xfId="35719"/>
    <cellStyle name="Normal 6 2 2 2 63 7" xfId="40450"/>
    <cellStyle name="Normal 6 2 2 2 64" xfId="9381"/>
    <cellStyle name="Normal 6 2 2 2 64 2" xfId="16462"/>
    <cellStyle name="Normal 6 2 2 2 64 3" xfId="21579"/>
    <cellStyle name="Normal 6 2 2 2 64 4" xfId="26622"/>
    <cellStyle name="Normal 6 2 2 2 64 5" xfId="31583"/>
    <cellStyle name="Normal 6 2 2 2 64 6" xfId="36441"/>
    <cellStyle name="Normal 6 2 2 2 64 7" xfId="41172"/>
    <cellStyle name="Normal 6 2 2 2 65" xfId="9321"/>
    <cellStyle name="Normal 6 2 2 2 65 2" xfId="16402"/>
    <cellStyle name="Normal 6 2 2 2 65 3" xfId="21519"/>
    <cellStyle name="Normal 6 2 2 2 65 4" xfId="26562"/>
    <cellStyle name="Normal 6 2 2 2 65 5" xfId="31523"/>
    <cellStyle name="Normal 6 2 2 2 65 6" xfId="36381"/>
    <cellStyle name="Normal 6 2 2 2 65 7" xfId="41112"/>
    <cellStyle name="Normal 6 2 2 2 66" xfId="9511"/>
    <cellStyle name="Normal 6 2 2 2 66 2" xfId="16592"/>
    <cellStyle name="Normal 6 2 2 2 66 3" xfId="21709"/>
    <cellStyle name="Normal 6 2 2 2 66 4" xfId="26752"/>
    <cellStyle name="Normal 6 2 2 2 66 5" xfId="31713"/>
    <cellStyle name="Normal 6 2 2 2 66 6" xfId="36571"/>
    <cellStyle name="Normal 6 2 2 2 66 7" xfId="41302"/>
    <cellStyle name="Normal 6 2 2 2 67" xfId="9484"/>
    <cellStyle name="Normal 6 2 2 2 67 2" xfId="16565"/>
    <cellStyle name="Normal 6 2 2 2 67 3" xfId="21682"/>
    <cellStyle name="Normal 6 2 2 2 67 4" xfId="26725"/>
    <cellStyle name="Normal 6 2 2 2 67 5" xfId="31686"/>
    <cellStyle name="Normal 6 2 2 2 67 6" xfId="36544"/>
    <cellStyle name="Normal 6 2 2 2 67 7" xfId="41275"/>
    <cellStyle name="Normal 6 2 2 2 68" xfId="9188"/>
    <cellStyle name="Normal 6 2 2 2 68 2" xfId="16269"/>
    <cellStyle name="Normal 6 2 2 2 68 3" xfId="21386"/>
    <cellStyle name="Normal 6 2 2 2 68 4" xfId="26429"/>
    <cellStyle name="Normal 6 2 2 2 68 5" xfId="31390"/>
    <cellStyle name="Normal 6 2 2 2 68 6" xfId="36248"/>
    <cellStyle name="Normal 6 2 2 2 68 7" xfId="40979"/>
    <cellStyle name="Normal 6 2 2 2 69" xfId="9119"/>
    <cellStyle name="Normal 6 2 2 2 69 2" xfId="16200"/>
    <cellStyle name="Normal 6 2 2 2 69 3" xfId="21317"/>
    <cellStyle name="Normal 6 2 2 2 69 4" xfId="26360"/>
    <cellStyle name="Normal 6 2 2 2 69 5" xfId="31321"/>
    <cellStyle name="Normal 6 2 2 2 69 6" xfId="36179"/>
    <cellStyle name="Normal 6 2 2 2 69 7" xfId="40910"/>
    <cellStyle name="Normal 6 2 2 2 7" xfId="4462"/>
    <cellStyle name="Normal 6 2 2 2 7 2" xfId="5959"/>
    <cellStyle name="Normal 6 2 2 2 7 3" xfId="18061"/>
    <cellStyle name="Normal 6 2 2 2 7 4" xfId="23104"/>
    <cellStyle name="Normal 6 2 2 2 7 5" xfId="28065"/>
    <cellStyle name="Normal 6 2 2 2 7 6" xfId="32923"/>
    <cellStyle name="Normal 6 2 2 2 7 7" xfId="37654"/>
    <cellStyle name="Normal 6 2 2 2 70" xfId="9152"/>
    <cellStyle name="Normal 6 2 2 2 70 2" xfId="16233"/>
    <cellStyle name="Normal 6 2 2 2 70 3" xfId="21350"/>
    <cellStyle name="Normal 6 2 2 2 70 4" xfId="26393"/>
    <cellStyle name="Normal 6 2 2 2 70 5" xfId="31354"/>
    <cellStyle name="Normal 6 2 2 2 70 6" xfId="36212"/>
    <cellStyle name="Normal 6 2 2 2 70 7" xfId="40943"/>
    <cellStyle name="Normal 6 2 2 2 71" xfId="9081"/>
    <cellStyle name="Normal 6 2 2 2 71 2" xfId="16162"/>
    <cellStyle name="Normal 6 2 2 2 71 3" xfId="21279"/>
    <cellStyle name="Normal 6 2 2 2 71 4" xfId="26322"/>
    <cellStyle name="Normal 6 2 2 2 71 5" xfId="31283"/>
    <cellStyle name="Normal 6 2 2 2 71 6" xfId="36141"/>
    <cellStyle name="Normal 6 2 2 2 71 7" xfId="40872"/>
    <cellStyle name="Normal 6 2 2 2 72" xfId="9522"/>
    <cellStyle name="Normal 6 2 2 2 72 2" xfId="16603"/>
    <cellStyle name="Normal 6 2 2 2 72 3" xfId="21720"/>
    <cellStyle name="Normal 6 2 2 2 72 4" xfId="26763"/>
    <cellStyle name="Normal 6 2 2 2 72 5" xfId="31724"/>
    <cellStyle name="Normal 6 2 2 2 72 6" xfId="36582"/>
    <cellStyle name="Normal 6 2 2 2 72 7" xfId="41313"/>
    <cellStyle name="Normal 6 2 2 2 73" xfId="9237"/>
    <cellStyle name="Normal 6 2 2 2 73 2" xfId="16318"/>
    <cellStyle name="Normal 6 2 2 2 73 3" xfId="21435"/>
    <cellStyle name="Normal 6 2 2 2 73 4" xfId="26478"/>
    <cellStyle name="Normal 6 2 2 2 73 5" xfId="31439"/>
    <cellStyle name="Normal 6 2 2 2 73 6" xfId="36297"/>
    <cellStyle name="Normal 6 2 2 2 73 7" xfId="41028"/>
    <cellStyle name="Normal 6 2 2 2 74" xfId="9080"/>
    <cellStyle name="Normal 6 2 2 2 74 2" xfId="16161"/>
    <cellStyle name="Normal 6 2 2 2 74 3" xfId="21278"/>
    <cellStyle name="Normal 6 2 2 2 74 4" xfId="26321"/>
    <cellStyle name="Normal 6 2 2 2 74 5" xfId="31282"/>
    <cellStyle name="Normal 6 2 2 2 74 6" xfId="36140"/>
    <cellStyle name="Normal 6 2 2 2 74 7" xfId="40871"/>
    <cellStyle name="Normal 6 2 2 2 75" xfId="9573"/>
    <cellStyle name="Normal 6 2 2 2 75 2" xfId="16654"/>
    <cellStyle name="Normal 6 2 2 2 75 3" xfId="21771"/>
    <cellStyle name="Normal 6 2 2 2 75 4" xfId="26814"/>
    <cellStyle name="Normal 6 2 2 2 75 5" xfId="31775"/>
    <cellStyle name="Normal 6 2 2 2 75 6" xfId="36633"/>
    <cellStyle name="Normal 6 2 2 2 75 7" xfId="41364"/>
    <cellStyle name="Normal 6 2 2 2 76" xfId="9878"/>
    <cellStyle name="Normal 6 2 2 2 76 2" xfId="16959"/>
    <cellStyle name="Normal 6 2 2 2 76 3" xfId="22076"/>
    <cellStyle name="Normal 6 2 2 2 76 4" xfId="27119"/>
    <cellStyle name="Normal 6 2 2 2 76 5" xfId="32080"/>
    <cellStyle name="Normal 6 2 2 2 76 6" xfId="36938"/>
    <cellStyle name="Normal 6 2 2 2 76 7" xfId="41669"/>
    <cellStyle name="Normal 6 2 2 2 77" xfId="9848"/>
    <cellStyle name="Normal 6 2 2 2 77 2" xfId="16929"/>
    <cellStyle name="Normal 6 2 2 2 77 3" xfId="22046"/>
    <cellStyle name="Normal 6 2 2 2 77 4" xfId="27089"/>
    <cellStyle name="Normal 6 2 2 2 77 5" xfId="32050"/>
    <cellStyle name="Normal 6 2 2 2 77 6" xfId="36908"/>
    <cellStyle name="Normal 6 2 2 2 77 7" xfId="41639"/>
    <cellStyle name="Normal 6 2 2 2 78" xfId="9956"/>
    <cellStyle name="Normal 6 2 2 2 78 2" xfId="17037"/>
    <cellStyle name="Normal 6 2 2 2 78 3" xfId="22154"/>
    <cellStyle name="Normal 6 2 2 2 78 4" xfId="27197"/>
    <cellStyle name="Normal 6 2 2 2 78 5" xfId="32158"/>
    <cellStyle name="Normal 6 2 2 2 78 6" xfId="37016"/>
    <cellStyle name="Normal 6 2 2 2 78 7" xfId="41747"/>
    <cellStyle name="Normal 6 2 2 2 79" xfId="9944"/>
    <cellStyle name="Normal 6 2 2 2 79 2" xfId="17025"/>
    <cellStyle name="Normal 6 2 2 2 79 3" xfId="22142"/>
    <cellStyle name="Normal 6 2 2 2 79 4" xfId="27185"/>
    <cellStyle name="Normal 6 2 2 2 79 5" xfId="32146"/>
    <cellStyle name="Normal 6 2 2 2 79 6" xfId="37004"/>
    <cellStyle name="Normal 6 2 2 2 79 7" xfId="41735"/>
    <cellStyle name="Normal 6 2 2 2 8" xfId="4570"/>
    <cellStyle name="Normal 6 2 2 2 8 2" xfId="5871"/>
    <cellStyle name="Normal 6 2 2 2 8 3" xfId="17971"/>
    <cellStyle name="Normal 6 2 2 2 8 4" xfId="23014"/>
    <cellStyle name="Normal 6 2 2 2 8 5" xfId="27975"/>
    <cellStyle name="Normal 6 2 2 2 8 6" xfId="32833"/>
    <cellStyle name="Normal 6 2 2 2 8 7" xfId="37564"/>
    <cellStyle name="Normal 6 2 2 2 80" xfId="9779"/>
    <cellStyle name="Normal 6 2 2 2 80 2" xfId="16860"/>
    <cellStyle name="Normal 6 2 2 2 80 3" xfId="21977"/>
    <cellStyle name="Normal 6 2 2 2 80 4" xfId="27020"/>
    <cellStyle name="Normal 6 2 2 2 80 5" xfId="31981"/>
    <cellStyle name="Normal 6 2 2 2 80 6" xfId="36839"/>
    <cellStyle name="Normal 6 2 2 2 80 7" xfId="41570"/>
    <cellStyle name="Normal 6 2 2 2 81" xfId="9752"/>
    <cellStyle name="Normal 6 2 2 2 81 2" xfId="16833"/>
    <cellStyle name="Normal 6 2 2 2 81 3" xfId="21950"/>
    <cellStyle name="Normal 6 2 2 2 81 4" xfId="26993"/>
    <cellStyle name="Normal 6 2 2 2 81 5" xfId="31954"/>
    <cellStyle name="Normal 6 2 2 2 81 6" xfId="36812"/>
    <cellStyle name="Normal 6 2 2 2 81 7" xfId="41543"/>
    <cellStyle name="Normal 6 2 2 2 82" xfId="10208"/>
    <cellStyle name="Normal 6 2 2 2 82 2" xfId="17289"/>
    <cellStyle name="Normal 6 2 2 2 82 3" xfId="22406"/>
    <cellStyle name="Normal 6 2 2 2 82 4" xfId="27449"/>
    <cellStyle name="Normal 6 2 2 2 82 5" xfId="32410"/>
    <cellStyle name="Normal 6 2 2 2 82 6" xfId="37268"/>
    <cellStyle name="Normal 6 2 2 2 82 7" xfId="41999"/>
    <cellStyle name="Normal 6 2 2 2 83" xfId="10178"/>
    <cellStyle name="Normal 6 2 2 2 83 2" xfId="17259"/>
    <cellStyle name="Normal 6 2 2 2 83 3" xfId="22376"/>
    <cellStyle name="Normal 6 2 2 2 83 4" xfId="27419"/>
    <cellStyle name="Normal 6 2 2 2 83 5" xfId="32380"/>
    <cellStyle name="Normal 6 2 2 2 83 6" xfId="37238"/>
    <cellStyle name="Normal 6 2 2 2 83 7" xfId="41969"/>
    <cellStyle name="Normal 6 2 2 2 84" xfId="10286"/>
    <cellStyle name="Normal 6 2 2 2 84 2" xfId="17367"/>
    <cellStyle name="Normal 6 2 2 2 84 3" xfId="22484"/>
    <cellStyle name="Normal 6 2 2 2 84 4" xfId="27527"/>
    <cellStyle name="Normal 6 2 2 2 84 5" xfId="32488"/>
    <cellStyle name="Normal 6 2 2 2 84 6" xfId="37346"/>
    <cellStyle name="Normal 6 2 2 2 84 7" xfId="42077"/>
    <cellStyle name="Normal 6 2 2 2 85" xfId="10274"/>
    <cellStyle name="Normal 6 2 2 2 85 2" xfId="17355"/>
    <cellStyle name="Normal 6 2 2 2 85 3" xfId="22472"/>
    <cellStyle name="Normal 6 2 2 2 85 4" xfId="27515"/>
    <cellStyle name="Normal 6 2 2 2 85 5" xfId="32476"/>
    <cellStyle name="Normal 6 2 2 2 85 6" xfId="37334"/>
    <cellStyle name="Normal 6 2 2 2 85 7" xfId="42065"/>
    <cellStyle name="Normal 6 2 2 2 86" xfId="10109"/>
    <cellStyle name="Normal 6 2 2 2 86 2" xfId="17190"/>
    <cellStyle name="Normal 6 2 2 2 86 3" xfId="22307"/>
    <cellStyle name="Normal 6 2 2 2 86 4" xfId="27350"/>
    <cellStyle name="Normal 6 2 2 2 86 5" xfId="32311"/>
    <cellStyle name="Normal 6 2 2 2 86 6" xfId="37169"/>
    <cellStyle name="Normal 6 2 2 2 86 7" xfId="41900"/>
    <cellStyle name="Normal 6 2 2 2 87" xfId="10082"/>
    <cellStyle name="Normal 6 2 2 2 87 2" xfId="17163"/>
    <cellStyle name="Normal 6 2 2 2 87 3" xfId="22280"/>
    <cellStyle name="Normal 6 2 2 2 87 4" xfId="27323"/>
    <cellStyle name="Normal 6 2 2 2 87 5" xfId="32284"/>
    <cellStyle name="Normal 6 2 2 2 87 6" xfId="37142"/>
    <cellStyle name="Normal 6 2 2 2 87 7" xfId="41873"/>
    <cellStyle name="Normal 6 2 2 2 88" xfId="13022"/>
    <cellStyle name="Normal 6 2 2 2 89" xfId="13201"/>
    <cellStyle name="Normal 6 2 2 2 9" xfId="4552"/>
    <cellStyle name="Normal 6 2 2 2 9 2" xfId="5908"/>
    <cellStyle name="Normal 6 2 2 2 9 3" xfId="18010"/>
    <cellStyle name="Normal 6 2 2 2 9 4" xfId="23053"/>
    <cellStyle name="Normal 6 2 2 2 9 5" xfId="28014"/>
    <cellStyle name="Normal 6 2 2 2 9 6" xfId="32872"/>
    <cellStyle name="Normal 6 2 2 2 9 7" xfId="37603"/>
    <cellStyle name="Normal 6 2 2 2 90" xfId="13455"/>
    <cellStyle name="Normal 6 2 2 2 91" xfId="12724"/>
    <cellStyle name="Normal 6 2 2 2 92" xfId="12938"/>
    <cellStyle name="Normal 6 2 2 2 93" xfId="13298"/>
    <cellStyle name="Normal 6 2 2 20" xfId="5130"/>
    <cellStyle name="Normal 6 2 2 20 2" xfId="6707"/>
    <cellStyle name="Normal 6 2 2 20 3" xfId="18828"/>
    <cellStyle name="Normal 6 2 2 20 4" xfId="23871"/>
    <cellStyle name="Normal 6 2 2 20 5" xfId="28832"/>
    <cellStyle name="Normal 6 2 2 20 6" xfId="33690"/>
    <cellStyle name="Normal 6 2 2 20 7" xfId="38421"/>
    <cellStyle name="Normal 6 2 2 21" xfId="5308"/>
    <cellStyle name="Normal 6 2 2 21 2" xfId="6796"/>
    <cellStyle name="Normal 6 2 2 21 3" xfId="18917"/>
    <cellStyle name="Normal 6 2 2 21 4" xfId="23960"/>
    <cellStyle name="Normal 6 2 2 21 5" xfId="28921"/>
    <cellStyle name="Normal 6 2 2 21 6" xfId="33779"/>
    <cellStyle name="Normal 6 2 2 21 7" xfId="38510"/>
    <cellStyle name="Normal 6 2 2 22" xfId="5471"/>
    <cellStyle name="Normal 6 2 2 22 2" xfId="6828"/>
    <cellStyle name="Normal 6 2 2 22 3" xfId="18949"/>
    <cellStyle name="Normal 6 2 2 22 4" xfId="23992"/>
    <cellStyle name="Normal 6 2 2 22 5" xfId="28953"/>
    <cellStyle name="Normal 6 2 2 22 6" xfId="33811"/>
    <cellStyle name="Normal 6 2 2 22 7" xfId="38542"/>
    <cellStyle name="Normal 6 2 2 23" xfId="5561"/>
    <cellStyle name="Normal 6 2 2 23 2" xfId="6787"/>
    <cellStyle name="Normal 6 2 2 23 3" xfId="18908"/>
    <cellStyle name="Normal 6 2 2 23 4" xfId="23951"/>
    <cellStyle name="Normal 6 2 2 23 5" xfId="28912"/>
    <cellStyle name="Normal 6 2 2 23 6" xfId="33770"/>
    <cellStyle name="Normal 6 2 2 23 7" xfId="38501"/>
    <cellStyle name="Normal 6 2 2 24" xfId="5452"/>
    <cellStyle name="Normal 6 2 2 24 2" xfId="7021"/>
    <cellStyle name="Normal 6 2 2 24 3" xfId="19160"/>
    <cellStyle name="Normal 6 2 2 24 4" xfId="24203"/>
    <cellStyle name="Normal 6 2 2 24 5" xfId="29164"/>
    <cellStyle name="Normal 6 2 2 24 6" xfId="34022"/>
    <cellStyle name="Normal 6 2 2 24 7" xfId="38753"/>
    <cellStyle name="Normal 6 2 2 25" xfId="5500"/>
    <cellStyle name="Normal 6 2 2 25 2" xfId="7223"/>
    <cellStyle name="Normal 6 2 2 25 3" xfId="19381"/>
    <cellStyle name="Normal 6 2 2 25 4" xfId="24424"/>
    <cellStyle name="Normal 6 2 2 25 5" xfId="29385"/>
    <cellStyle name="Normal 6 2 2 25 6" xfId="34243"/>
    <cellStyle name="Normal 6 2 2 25 7" xfId="38974"/>
    <cellStyle name="Normal 6 2 2 26" xfId="5458"/>
    <cellStyle name="Normal 6 2 2 26 2" xfId="7315"/>
    <cellStyle name="Normal 6 2 2 26 3" xfId="19486"/>
    <cellStyle name="Normal 6 2 2 26 4" xfId="24529"/>
    <cellStyle name="Normal 6 2 2 26 5" xfId="29490"/>
    <cellStyle name="Normal 6 2 2 26 6" xfId="34348"/>
    <cellStyle name="Normal 6 2 2 26 7" xfId="39079"/>
    <cellStyle name="Normal 6 2 2 27" xfId="5537"/>
    <cellStyle name="Normal 6 2 2 27 2" xfId="7198"/>
    <cellStyle name="Normal 6 2 2 27 3" xfId="19354"/>
    <cellStyle name="Normal 6 2 2 27 4" xfId="24397"/>
    <cellStyle name="Normal 6 2 2 27 5" xfId="29358"/>
    <cellStyle name="Normal 6 2 2 27 6" xfId="34216"/>
    <cellStyle name="Normal 6 2 2 27 7" xfId="38947"/>
    <cellStyle name="Normal 6 2 2 28" xfId="5580"/>
    <cellStyle name="Normal 6 2 2 28 2" xfId="7255"/>
    <cellStyle name="Normal 6 2 2 28 3" xfId="19418"/>
    <cellStyle name="Normal 6 2 2 28 4" xfId="24461"/>
    <cellStyle name="Normal 6 2 2 28 5" xfId="29422"/>
    <cellStyle name="Normal 6 2 2 28 6" xfId="34280"/>
    <cellStyle name="Normal 6 2 2 28 7" xfId="39011"/>
    <cellStyle name="Normal 6 2 2 29" xfId="5219"/>
    <cellStyle name="Normal 6 2 2 29 2" xfId="7208"/>
    <cellStyle name="Normal 6 2 2 29 3" xfId="19364"/>
    <cellStyle name="Normal 6 2 2 29 4" xfId="24407"/>
    <cellStyle name="Normal 6 2 2 29 5" xfId="29368"/>
    <cellStyle name="Normal 6 2 2 29 6" xfId="34226"/>
    <cellStyle name="Normal 6 2 2 29 7" xfId="38957"/>
    <cellStyle name="Normal 6 2 2 3" xfId="2508"/>
    <cellStyle name="Normal 6 2 2 3 10" xfId="4703"/>
    <cellStyle name="Normal 6 2 2 3 10 2" xfId="6044"/>
    <cellStyle name="Normal 6 2 2 3 10 3" xfId="18148"/>
    <cellStyle name="Normal 6 2 2 3 10 4" xfId="23191"/>
    <cellStyle name="Normal 6 2 2 3 10 5" xfId="28152"/>
    <cellStyle name="Normal 6 2 2 3 10 6" xfId="33010"/>
    <cellStyle name="Normal 6 2 2 3 10 7" xfId="37741"/>
    <cellStyle name="Normal 6 2 2 3 11" xfId="4860"/>
    <cellStyle name="Normal 6 2 2 3 11 2" xfId="5983"/>
    <cellStyle name="Normal 6 2 2 3 11 3" xfId="18086"/>
    <cellStyle name="Normal 6 2 2 3 11 4" xfId="23129"/>
    <cellStyle name="Normal 6 2 2 3 11 5" xfId="28090"/>
    <cellStyle name="Normal 6 2 2 3 11 6" xfId="32948"/>
    <cellStyle name="Normal 6 2 2 3 11 7" xfId="37679"/>
    <cellStyle name="Normal 6 2 2 3 12" xfId="4757"/>
    <cellStyle name="Normal 6 2 2 3 12 2" xfId="6274"/>
    <cellStyle name="Normal 6 2 2 3 12 3" xfId="18378"/>
    <cellStyle name="Normal 6 2 2 3 12 4" xfId="23421"/>
    <cellStyle name="Normal 6 2 2 3 12 5" xfId="28382"/>
    <cellStyle name="Normal 6 2 2 3 12 6" xfId="33240"/>
    <cellStyle name="Normal 6 2 2 3 12 7" xfId="37971"/>
    <cellStyle name="Normal 6 2 2 3 13" xfId="4897"/>
    <cellStyle name="Normal 6 2 2 3 13 2" xfId="6475"/>
    <cellStyle name="Normal 6 2 2 3 13 3" xfId="18585"/>
    <cellStyle name="Normal 6 2 2 3 13 4" xfId="23628"/>
    <cellStyle name="Normal 6 2 2 3 13 5" xfId="28589"/>
    <cellStyle name="Normal 6 2 2 3 13 6" xfId="33447"/>
    <cellStyle name="Normal 6 2 2 3 13 7" xfId="38178"/>
    <cellStyle name="Normal 6 2 2 3 14" xfId="4810"/>
    <cellStyle name="Normal 6 2 2 3 14 2" xfId="6131"/>
    <cellStyle name="Normal 6 2 2 3 14 3" xfId="18235"/>
    <cellStyle name="Normal 6 2 2 3 14 4" xfId="23278"/>
    <cellStyle name="Normal 6 2 2 3 14 5" xfId="28239"/>
    <cellStyle name="Normal 6 2 2 3 14 6" xfId="33097"/>
    <cellStyle name="Normal 6 2 2 3 14 7" xfId="37828"/>
    <cellStyle name="Normal 6 2 2 3 15" xfId="5085"/>
    <cellStyle name="Normal 6 2 2 3 15 2" xfId="6144"/>
    <cellStyle name="Normal 6 2 2 3 15 3" xfId="18248"/>
    <cellStyle name="Normal 6 2 2 3 15 4" xfId="23291"/>
    <cellStyle name="Normal 6 2 2 3 15 5" xfId="28252"/>
    <cellStyle name="Normal 6 2 2 3 15 6" xfId="33110"/>
    <cellStyle name="Normal 6 2 2 3 15 7" xfId="37841"/>
    <cellStyle name="Normal 6 2 2 3 16" xfId="4976"/>
    <cellStyle name="Normal 6 2 2 3 16 2" xfId="6420"/>
    <cellStyle name="Normal 6 2 2 3 16 3" xfId="18530"/>
    <cellStyle name="Normal 6 2 2 3 16 4" xfId="23573"/>
    <cellStyle name="Normal 6 2 2 3 16 5" xfId="28534"/>
    <cellStyle name="Normal 6 2 2 3 16 6" xfId="33392"/>
    <cellStyle name="Normal 6 2 2 3 16 7" xfId="38123"/>
    <cellStyle name="Normal 6 2 2 3 17" xfId="5035"/>
    <cellStyle name="Normal 6 2 2 3 17 2" xfId="5935"/>
    <cellStyle name="Normal 6 2 2 3 17 3" xfId="18037"/>
    <cellStyle name="Normal 6 2 2 3 17 4" xfId="23080"/>
    <cellStyle name="Normal 6 2 2 3 17 5" xfId="28041"/>
    <cellStyle name="Normal 6 2 2 3 17 6" xfId="32899"/>
    <cellStyle name="Normal 6 2 2 3 17 7" xfId="37630"/>
    <cellStyle name="Normal 6 2 2 3 18" xfId="4999"/>
    <cellStyle name="Normal 6 2 2 3 18 2" xfId="6779"/>
    <cellStyle name="Normal 6 2 2 3 18 3" xfId="18900"/>
    <cellStyle name="Normal 6 2 2 3 18 4" xfId="23943"/>
    <cellStyle name="Normal 6 2 2 3 18 5" xfId="28904"/>
    <cellStyle name="Normal 6 2 2 3 18 6" xfId="33762"/>
    <cellStyle name="Normal 6 2 2 3 18 7" xfId="38493"/>
    <cellStyle name="Normal 6 2 2 3 19" xfId="5439"/>
    <cellStyle name="Normal 6 2 2 3 19 2" xfId="6678"/>
    <cellStyle name="Normal 6 2 2 3 19 3" xfId="18798"/>
    <cellStyle name="Normal 6 2 2 3 19 4" xfId="23841"/>
    <cellStyle name="Normal 6 2 2 3 19 5" xfId="28802"/>
    <cellStyle name="Normal 6 2 2 3 19 6" xfId="33660"/>
    <cellStyle name="Normal 6 2 2 3 19 7" xfId="38391"/>
    <cellStyle name="Normal 6 2 2 3 2" xfId="4304"/>
    <cellStyle name="Normal 6 2 2 3 2 2" xfId="6218"/>
    <cellStyle name="Normal 6 2 2 3 2 3" xfId="18322"/>
    <cellStyle name="Normal 6 2 2 3 2 4" xfId="23365"/>
    <cellStyle name="Normal 6 2 2 3 2 5" xfId="28326"/>
    <cellStyle name="Normal 6 2 2 3 2 6" xfId="33184"/>
    <cellStyle name="Normal 6 2 2 3 2 7" xfId="37915"/>
    <cellStyle name="Normal 6 2 2 3 20" xfId="5225"/>
    <cellStyle name="Normal 6 2 2 3 20 2" xfId="6741"/>
    <cellStyle name="Normal 6 2 2 3 20 3" xfId="18862"/>
    <cellStyle name="Normal 6 2 2 3 20 4" xfId="23905"/>
    <cellStyle name="Normal 6 2 2 3 20 5" xfId="28866"/>
    <cellStyle name="Normal 6 2 2 3 20 6" xfId="33724"/>
    <cellStyle name="Normal 6 2 2 3 20 7" xfId="38455"/>
    <cellStyle name="Normal 6 2 2 3 21" xfId="5520"/>
    <cellStyle name="Normal 6 2 2 3 21 2" xfId="6689"/>
    <cellStyle name="Normal 6 2 2 3 21 3" xfId="18810"/>
    <cellStyle name="Normal 6 2 2 3 21 4" xfId="23853"/>
    <cellStyle name="Normal 6 2 2 3 21 5" xfId="28814"/>
    <cellStyle name="Normal 6 2 2 3 21 6" xfId="33672"/>
    <cellStyle name="Normal 6 2 2 3 21 7" xfId="38403"/>
    <cellStyle name="Normal 6 2 2 3 22" xfId="5347"/>
    <cellStyle name="Normal 6 2 2 3 22 2" xfId="7183"/>
    <cellStyle name="Normal 6 2 2 3 22 3" xfId="19338"/>
    <cellStyle name="Normal 6 2 2 3 22 4" xfId="24381"/>
    <cellStyle name="Normal 6 2 2 3 22 5" xfId="29342"/>
    <cellStyle name="Normal 6 2 2 3 22 6" xfId="34200"/>
    <cellStyle name="Normal 6 2 2 3 22 7" xfId="38931"/>
    <cellStyle name="Normal 6 2 2 3 23" xfId="5378"/>
    <cellStyle name="Normal 6 2 2 3 23 2" xfId="6922"/>
    <cellStyle name="Normal 6 2 2 3 23 3" xfId="19050"/>
    <cellStyle name="Normal 6 2 2 3 23 4" xfId="24093"/>
    <cellStyle name="Normal 6 2 2 3 23 5" xfId="29054"/>
    <cellStyle name="Normal 6 2 2 3 23 6" xfId="33912"/>
    <cellStyle name="Normal 6 2 2 3 23 7" xfId="38643"/>
    <cellStyle name="Normal 6 2 2 3 24" xfId="5543"/>
    <cellStyle name="Normal 6 2 2 3 24 2" xfId="7110"/>
    <cellStyle name="Normal 6 2 2 3 24 3" xfId="19256"/>
    <cellStyle name="Normal 6 2 2 3 24 4" xfId="24299"/>
    <cellStyle name="Normal 6 2 2 3 24 5" xfId="29260"/>
    <cellStyle name="Normal 6 2 2 3 24 6" xfId="34118"/>
    <cellStyle name="Normal 6 2 2 3 24 7" xfId="38849"/>
    <cellStyle name="Normal 6 2 2 3 25" xfId="5509"/>
    <cellStyle name="Normal 6 2 2 3 25 2" xfId="6956"/>
    <cellStyle name="Normal 6 2 2 3 25 3" xfId="19087"/>
    <cellStyle name="Normal 6 2 2 3 25 4" xfId="24130"/>
    <cellStyle name="Normal 6 2 2 3 25 5" xfId="29091"/>
    <cellStyle name="Normal 6 2 2 3 25 6" xfId="33949"/>
    <cellStyle name="Normal 6 2 2 3 25 7" xfId="38680"/>
    <cellStyle name="Normal 6 2 2 3 26" xfId="5573"/>
    <cellStyle name="Normal 6 2 2 3 26 2" xfId="7202"/>
    <cellStyle name="Normal 6 2 2 3 26 3" xfId="19358"/>
    <cellStyle name="Normal 6 2 2 3 26 4" xfId="24401"/>
    <cellStyle name="Normal 6 2 2 3 26 5" xfId="29362"/>
    <cellStyle name="Normal 6 2 2 3 26 6" xfId="34220"/>
    <cellStyle name="Normal 6 2 2 3 26 7" xfId="38951"/>
    <cellStyle name="Normal 6 2 2 3 27" xfId="5609"/>
    <cellStyle name="Normal 6 2 2 3 27 2" xfId="6985"/>
    <cellStyle name="Normal 6 2 2 3 27 3" xfId="19119"/>
    <cellStyle name="Normal 6 2 2 3 27 4" xfId="24162"/>
    <cellStyle name="Normal 6 2 2 3 27 5" xfId="29123"/>
    <cellStyle name="Normal 6 2 2 3 27 6" xfId="33981"/>
    <cellStyle name="Normal 6 2 2 3 27 7" xfId="38712"/>
    <cellStyle name="Normal 6 2 2 3 28" xfId="5789"/>
    <cellStyle name="Normal 6 2 2 3 28 2" xfId="14366"/>
    <cellStyle name="Normal 6 2 2 3 28 3" xfId="19285"/>
    <cellStyle name="Normal 6 2 2 3 28 4" xfId="24328"/>
    <cellStyle name="Normal 6 2 2 3 28 5" xfId="29289"/>
    <cellStyle name="Normal 6 2 2 3 28 6" xfId="34147"/>
    <cellStyle name="Normal 6 2 2 3 28 7" xfId="38878"/>
    <cellStyle name="Normal 6 2 2 3 29" xfId="6944"/>
    <cellStyle name="Normal 6 2 2 3 29 2" xfId="14257"/>
    <cellStyle name="Normal 6 2 2 3 29 3" xfId="19074"/>
    <cellStyle name="Normal 6 2 2 3 29 4" xfId="24117"/>
    <cellStyle name="Normal 6 2 2 3 29 5" xfId="29078"/>
    <cellStyle name="Normal 6 2 2 3 29 6" xfId="33936"/>
    <cellStyle name="Normal 6 2 2 3 29 7" xfId="38667"/>
    <cellStyle name="Normal 6 2 2 3 3" xfId="4343"/>
    <cellStyle name="Normal 6 2 2 3 3 2" xfId="5859"/>
    <cellStyle name="Normal 6 2 2 3 3 3" xfId="17959"/>
    <cellStyle name="Normal 6 2 2 3 3 4" xfId="23002"/>
    <cellStyle name="Normal 6 2 2 3 3 5" xfId="27963"/>
    <cellStyle name="Normal 6 2 2 3 3 6" xfId="32821"/>
    <cellStyle name="Normal 6 2 2 3 3 7" xfId="37552"/>
    <cellStyle name="Normal 6 2 2 3 30" xfId="7053"/>
    <cellStyle name="Normal 6 2 2 3 30 2" xfId="14320"/>
    <cellStyle name="Normal 6 2 2 3 30 3" xfId="19197"/>
    <cellStyle name="Normal 6 2 2 3 30 4" xfId="24240"/>
    <cellStyle name="Normal 6 2 2 3 30 5" xfId="29201"/>
    <cellStyle name="Normal 6 2 2 3 30 6" xfId="34059"/>
    <cellStyle name="Normal 6 2 2 3 30 7" xfId="38790"/>
    <cellStyle name="Normal 6 2 2 3 31" xfId="7009"/>
    <cellStyle name="Normal 6 2 2 3 31 2" xfId="14299"/>
    <cellStyle name="Normal 6 2 2 3 31 3" xfId="19148"/>
    <cellStyle name="Normal 6 2 2 3 31 4" xfId="24191"/>
    <cellStyle name="Normal 6 2 2 3 31 5" xfId="29152"/>
    <cellStyle name="Normal 6 2 2 3 31 6" xfId="34010"/>
    <cellStyle name="Normal 6 2 2 3 31 7" xfId="38741"/>
    <cellStyle name="Normal 6 2 2 3 32" xfId="7224"/>
    <cellStyle name="Normal 6 2 2 3 32 2" xfId="14397"/>
    <cellStyle name="Normal 6 2 2 3 32 3" xfId="19382"/>
    <cellStyle name="Normal 6 2 2 3 32 4" xfId="24425"/>
    <cellStyle name="Normal 6 2 2 3 32 5" xfId="29386"/>
    <cellStyle name="Normal 6 2 2 3 32 6" xfId="34244"/>
    <cellStyle name="Normal 6 2 2 3 32 7" xfId="38975"/>
    <cellStyle name="Normal 6 2 2 3 33" xfId="7353"/>
    <cellStyle name="Normal 6 2 2 3 33 2" xfId="14472"/>
    <cellStyle name="Normal 6 2 2 3 33 3" xfId="19526"/>
    <cellStyle name="Normal 6 2 2 3 33 4" xfId="24569"/>
    <cellStyle name="Normal 6 2 2 3 33 5" xfId="29530"/>
    <cellStyle name="Normal 6 2 2 3 33 6" xfId="34388"/>
    <cellStyle name="Normal 6 2 2 3 33 7" xfId="39119"/>
    <cellStyle name="Normal 6 2 2 3 34" xfId="7844"/>
    <cellStyle name="Normal 6 2 2 3 34 2" xfId="14924"/>
    <cellStyle name="Normal 6 2 2 3 34 3" xfId="20041"/>
    <cellStyle name="Normal 6 2 2 3 34 4" xfId="25084"/>
    <cellStyle name="Normal 6 2 2 3 34 5" xfId="30045"/>
    <cellStyle name="Normal 6 2 2 3 34 6" xfId="34903"/>
    <cellStyle name="Normal 6 2 2 3 34 7" xfId="39634"/>
    <cellStyle name="Normal 6 2 2 3 35" xfId="7520"/>
    <cellStyle name="Normal 6 2 2 3 35 2" xfId="14598"/>
    <cellStyle name="Normal 6 2 2 3 35 3" xfId="19715"/>
    <cellStyle name="Normal 6 2 2 3 35 4" xfId="24758"/>
    <cellStyle name="Normal 6 2 2 3 35 5" xfId="29719"/>
    <cellStyle name="Normal 6 2 2 3 35 6" xfId="34577"/>
    <cellStyle name="Normal 6 2 2 3 35 7" xfId="39308"/>
    <cellStyle name="Normal 6 2 2 3 36" xfId="7754"/>
    <cellStyle name="Normal 6 2 2 3 36 2" xfId="14834"/>
    <cellStyle name="Normal 6 2 2 3 36 3" xfId="19951"/>
    <cellStyle name="Normal 6 2 2 3 36 4" xfId="24994"/>
    <cellStyle name="Normal 6 2 2 3 36 5" xfId="29955"/>
    <cellStyle name="Normal 6 2 2 3 36 6" xfId="34813"/>
    <cellStyle name="Normal 6 2 2 3 36 7" xfId="39544"/>
    <cellStyle name="Normal 6 2 2 3 37" xfId="7561"/>
    <cellStyle name="Normal 6 2 2 3 37 2" xfId="14641"/>
    <cellStyle name="Normal 6 2 2 3 37 3" xfId="19758"/>
    <cellStyle name="Normal 6 2 2 3 37 4" xfId="24801"/>
    <cellStyle name="Normal 6 2 2 3 37 5" xfId="29762"/>
    <cellStyle name="Normal 6 2 2 3 37 6" xfId="34620"/>
    <cellStyle name="Normal 6 2 2 3 37 7" xfId="39351"/>
    <cellStyle name="Normal 6 2 2 3 38" xfId="7866"/>
    <cellStyle name="Normal 6 2 2 3 38 2" xfId="14946"/>
    <cellStyle name="Normal 6 2 2 3 38 3" xfId="20063"/>
    <cellStyle name="Normal 6 2 2 3 38 4" xfId="25106"/>
    <cellStyle name="Normal 6 2 2 3 38 5" xfId="30067"/>
    <cellStyle name="Normal 6 2 2 3 38 6" xfId="34925"/>
    <cellStyle name="Normal 6 2 2 3 38 7" xfId="39656"/>
    <cellStyle name="Normal 6 2 2 3 39" xfId="7600"/>
    <cellStyle name="Normal 6 2 2 3 39 2" xfId="14680"/>
    <cellStyle name="Normal 6 2 2 3 39 3" xfId="19797"/>
    <cellStyle name="Normal 6 2 2 3 39 4" xfId="24840"/>
    <cellStyle name="Normal 6 2 2 3 39 5" xfId="29801"/>
    <cellStyle name="Normal 6 2 2 3 39 6" xfId="34659"/>
    <cellStyle name="Normal 6 2 2 3 39 7" xfId="39390"/>
    <cellStyle name="Normal 6 2 2 3 4" xfId="4252"/>
    <cellStyle name="Normal 6 2 2 3 4 2" xfId="6117"/>
    <cellStyle name="Normal 6 2 2 3 4 3" xfId="18221"/>
    <cellStyle name="Normal 6 2 2 3 4 4" xfId="23264"/>
    <cellStyle name="Normal 6 2 2 3 4 5" xfId="28225"/>
    <cellStyle name="Normal 6 2 2 3 4 6" xfId="33083"/>
    <cellStyle name="Normal 6 2 2 3 4 7" xfId="37814"/>
    <cellStyle name="Normal 6 2 2 3 40" xfId="7787"/>
    <cellStyle name="Normal 6 2 2 3 40 2" xfId="14867"/>
    <cellStyle name="Normal 6 2 2 3 40 3" xfId="19984"/>
    <cellStyle name="Normal 6 2 2 3 40 4" xfId="25027"/>
    <cellStyle name="Normal 6 2 2 3 40 5" xfId="29988"/>
    <cellStyle name="Normal 6 2 2 3 40 6" xfId="34846"/>
    <cellStyle name="Normal 6 2 2 3 40 7" xfId="39577"/>
    <cellStyle name="Normal 6 2 2 3 41" xfId="7548"/>
    <cellStyle name="Normal 6 2 2 3 41 2" xfId="14626"/>
    <cellStyle name="Normal 6 2 2 3 41 3" xfId="19743"/>
    <cellStyle name="Normal 6 2 2 3 41 4" xfId="24786"/>
    <cellStyle name="Normal 6 2 2 3 41 5" xfId="29747"/>
    <cellStyle name="Normal 6 2 2 3 41 6" xfId="34605"/>
    <cellStyle name="Normal 6 2 2 3 41 7" xfId="39336"/>
    <cellStyle name="Normal 6 2 2 3 42" xfId="7688"/>
    <cellStyle name="Normal 6 2 2 3 42 2" xfId="14768"/>
    <cellStyle name="Normal 6 2 2 3 42 3" xfId="19885"/>
    <cellStyle name="Normal 6 2 2 3 42 4" xfId="24928"/>
    <cellStyle name="Normal 6 2 2 3 42 5" xfId="29889"/>
    <cellStyle name="Normal 6 2 2 3 42 6" xfId="34747"/>
    <cellStyle name="Normal 6 2 2 3 42 7" xfId="39478"/>
    <cellStyle name="Normal 6 2 2 3 43" xfId="7635"/>
    <cellStyle name="Normal 6 2 2 3 43 2" xfId="14715"/>
    <cellStyle name="Normal 6 2 2 3 43 3" xfId="19832"/>
    <cellStyle name="Normal 6 2 2 3 43 4" xfId="24875"/>
    <cellStyle name="Normal 6 2 2 3 43 5" xfId="29836"/>
    <cellStyle name="Normal 6 2 2 3 43 6" xfId="34694"/>
    <cellStyle name="Normal 6 2 2 3 43 7" xfId="39425"/>
    <cellStyle name="Normal 6 2 2 3 44" xfId="7894"/>
    <cellStyle name="Normal 6 2 2 3 44 2" xfId="14974"/>
    <cellStyle name="Normal 6 2 2 3 44 3" xfId="20091"/>
    <cellStyle name="Normal 6 2 2 3 44 4" xfId="25134"/>
    <cellStyle name="Normal 6 2 2 3 44 5" xfId="30095"/>
    <cellStyle name="Normal 6 2 2 3 44 6" xfId="34953"/>
    <cellStyle name="Normal 6 2 2 3 44 7" xfId="39684"/>
    <cellStyle name="Normal 6 2 2 3 45" xfId="8075"/>
    <cellStyle name="Normal 6 2 2 3 45 2" xfId="15155"/>
    <cellStyle name="Normal 6 2 2 3 45 3" xfId="20272"/>
    <cellStyle name="Normal 6 2 2 3 45 4" xfId="25315"/>
    <cellStyle name="Normal 6 2 2 3 45 5" xfId="30276"/>
    <cellStyle name="Normal 6 2 2 3 45 6" xfId="35134"/>
    <cellStyle name="Normal 6 2 2 3 45 7" xfId="39865"/>
    <cellStyle name="Normal 6 2 2 3 46" xfId="7767"/>
    <cellStyle name="Normal 6 2 2 3 46 2" xfId="14847"/>
    <cellStyle name="Normal 6 2 2 3 46 3" xfId="19964"/>
    <cellStyle name="Normal 6 2 2 3 46 4" xfId="25007"/>
    <cellStyle name="Normal 6 2 2 3 46 5" xfId="29968"/>
    <cellStyle name="Normal 6 2 2 3 46 6" xfId="34826"/>
    <cellStyle name="Normal 6 2 2 3 46 7" xfId="39557"/>
    <cellStyle name="Normal 6 2 2 3 47" xfId="7778"/>
    <cellStyle name="Normal 6 2 2 3 47 2" xfId="14858"/>
    <cellStyle name="Normal 6 2 2 3 47 3" xfId="19975"/>
    <cellStyle name="Normal 6 2 2 3 47 4" xfId="25018"/>
    <cellStyle name="Normal 6 2 2 3 47 5" xfId="29979"/>
    <cellStyle name="Normal 6 2 2 3 47 6" xfId="34837"/>
    <cellStyle name="Normal 6 2 2 3 47 7" xfId="39568"/>
    <cellStyle name="Normal 6 2 2 3 48" xfId="8638"/>
    <cellStyle name="Normal 6 2 2 3 48 2" xfId="15719"/>
    <cellStyle name="Normal 6 2 2 3 48 3" xfId="20836"/>
    <cellStyle name="Normal 6 2 2 3 48 4" xfId="25879"/>
    <cellStyle name="Normal 6 2 2 3 48 5" xfId="30840"/>
    <cellStyle name="Normal 6 2 2 3 48 6" xfId="35698"/>
    <cellStyle name="Normal 6 2 2 3 48 7" xfId="40429"/>
    <cellStyle name="Normal 6 2 2 3 49" xfId="8299"/>
    <cellStyle name="Normal 6 2 2 3 49 2" xfId="15380"/>
    <cellStyle name="Normal 6 2 2 3 49 3" xfId="20497"/>
    <cellStyle name="Normal 6 2 2 3 49 4" xfId="25540"/>
    <cellStyle name="Normal 6 2 2 3 49 5" xfId="30501"/>
    <cellStyle name="Normal 6 2 2 3 49 6" xfId="35359"/>
    <cellStyle name="Normal 6 2 2 3 49 7" xfId="40090"/>
    <cellStyle name="Normal 6 2 2 3 5" xfId="4421"/>
    <cellStyle name="Normal 6 2 2 3 5 2" xfId="5902"/>
    <cellStyle name="Normal 6 2 2 3 5 3" xfId="18004"/>
    <cellStyle name="Normal 6 2 2 3 5 4" xfId="23047"/>
    <cellStyle name="Normal 6 2 2 3 5 5" xfId="28008"/>
    <cellStyle name="Normal 6 2 2 3 5 6" xfId="32866"/>
    <cellStyle name="Normal 6 2 2 3 5 7" xfId="37597"/>
    <cellStyle name="Normal 6 2 2 3 50" xfId="8542"/>
    <cellStyle name="Normal 6 2 2 3 50 2" xfId="15623"/>
    <cellStyle name="Normal 6 2 2 3 50 3" xfId="20740"/>
    <cellStyle name="Normal 6 2 2 3 50 4" xfId="25783"/>
    <cellStyle name="Normal 6 2 2 3 50 5" xfId="30744"/>
    <cellStyle name="Normal 6 2 2 3 50 6" xfId="35602"/>
    <cellStyle name="Normal 6 2 2 3 50 7" xfId="40333"/>
    <cellStyle name="Normal 6 2 2 3 51" xfId="8343"/>
    <cellStyle name="Normal 6 2 2 3 51 2" xfId="15424"/>
    <cellStyle name="Normal 6 2 2 3 51 3" xfId="20541"/>
    <cellStyle name="Normal 6 2 2 3 51 4" xfId="25584"/>
    <cellStyle name="Normal 6 2 2 3 51 5" xfId="30545"/>
    <cellStyle name="Normal 6 2 2 3 51 6" xfId="35403"/>
    <cellStyle name="Normal 6 2 2 3 51 7" xfId="40134"/>
    <cellStyle name="Normal 6 2 2 3 52" xfId="8666"/>
    <cellStyle name="Normal 6 2 2 3 52 2" xfId="15747"/>
    <cellStyle name="Normal 6 2 2 3 52 3" xfId="20864"/>
    <cellStyle name="Normal 6 2 2 3 52 4" xfId="25907"/>
    <cellStyle name="Normal 6 2 2 3 52 5" xfId="30868"/>
    <cellStyle name="Normal 6 2 2 3 52 6" xfId="35726"/>
    <cellStyle name="Normal 6 2 2 3 52 7" xfId="40457"/>
    <cellStyle name="Normal 6 2 2 3 53" xfId="8383"/>
    <cellStyle name="Normal 6 2 2 3 53 2" xfId="15464"/>
    <cellStyle name="Normal 6 2 2 3 53 3" xfId="20581"/>
    <cellStyle name="Normal 6 2 2 3 53 4" xfId="25624"/>
    <cellStyle name="Normal 6 2 2 3 53 5" xfId="30585"/>
    <cellStyle name="Normal 6 2 2 3 53 6" xfId="35443"/>
    <cellStyle name="Normal 6 2 2 3 53 7" xfId="40174"/>
    <cellStyle name="Normal 6 2 2 3 54" xfId="8568"/>
    <cellStyle name="Normal 6 2 2 3 54 2" xfId="15649"/>
    <cellStyle name="Normal 6 2 2 3 54 3" xfId="20766"/>
    <cellStyle name="Normal 6 2 2 3 54 4" xfId="25809"/>
    <cellStyle name="Normal 6 2 2 3 54 5" xfId="30770"/>
    <cellStyle name="Normal 6 2 2 3 54 6" xfId="35628"/>
    <cellStyle name="Normal 6 2 2 3 54 7" xfId="40359"/>
    <cellStyle name="Normal 6 2 2 3 55" xfId="8502"/>
    <cellStyle name="Normal 6 2 2 3 55 2" xfId="15583"/>
    <cellStyle name="Normal 6 2 2 3 55 3" xfId="20700"/>
    <cellStyle name="Normal 6 2 2 3 55 4" xfId="25743"/>
    <cellStyle name="Normal 6 2 2 3 55 5" xfId="30704"/>
    <cellStyle name="Normal 6 2 2 3 55 6" xfId="35562"/>
    <cellStyle name="Normal 6 2 2 3 55 7" xfId="40293"/>
    <cellStyle name="Normal 6 2 2 3 56" xfId="8338"/>
    <cellStyle name="Normal 6 2 2 3 56 2" xfId="15419"/>
    <cellStyle name="Normal 6 2 2 3 56 3" xfId="20536"/>
    <cellStyle name="Normal 6 2 2 3 56 4" xfId="25579"/>
    <cellStyle name="Normal 6 2 2 3 56 5" xfId="30540"/>
    <cellStyle name="Normal 6 2 2 3 56 6" xfId="35398"/>
    <cellStyle name="Normal 6 2 2 3 56 7" xfId="40129"/>
    <cellStyle name="Normal 6 2 2 3 57" xfId="8595"/>
    <cellStyle name="Normal 6 2 2 3 57 2" xfId="15676"/>
    <cellStyle name="Normal 6 2 2 3 57 3" xfId="20793"/>
    <cellStyle name="Normal 6 2 2 3 57 4" xfId="25836"/>
    <cellStyle name="Normal 6 2 2 3 57 5" xfId="30797"/>
    <cellStyle name="Normal 6 2 2 3 57 6" xfId="35655"/>
    <cellStyle name="Normal 6 2 2 3 57 7" xfId="40386"/>
    <cellStyle name="Normal 6 2 2 3 58" xfId="8647"/>
    <cellStyle name="Normal 6 2 2 3 58 2" xfId="15728"/>
    <cellStyle name="Normal 6 2 2 3 58 3" xfId="20845"/>
    <cellStyle name="Normal 6 2 2 3 58 4" xfId="25888"/>
    <cellStyle name="Normal 6 2 2 3 58 5" xfId="30849"/>
    <cellStyle name="Normal 6 2 2 3 58 6" xfId="35707"/>
    <cellStyle name="Normal 6 2 2 3 58 7" xfId="40438"/>
    <cellStyle name="Normal 6 2 2 3 59" xfId="8286"/>
    <cellStyle name="Normal 6 2 2 3 59 2" xfId="15367"/>
    <cellStyle name="Normal 6 2 2 3 59 3" xfId="20484"/>
    <cellStyle name="Normal 6 2 2 3 59 4" xfId="25527"/>
    <cellStyle name="Normal 6 2 2 3 59 5" xfId="30488"/>
    <cellStyle name="Normal 6 2 2 3 59 6" xfId="35346"/>
    <cellStyle name="Normal 6 2 2 3 59 7" xfId="40077"/>
    <cellStyle name="Normal 6 2 2 3 6" xfId="4477"/>
    <cellStyle name="Normal 6 2 2 3 6 2" xfId="6243"/>
    <cellStyle name="Normal 6 2 2 3 6 3" xfId="18347"/>
    <cellStyle name="Normal 6 2 2 3 6 4" xfId="23390"/>
    <cellStyle name="Normal 6 2 2 3 6 5" xfId="28351"/>
    <cellStyle name="Normal 6 2 2 3 6 6" xfId="33209"/>
    <cellStyle name="Normal 6 2 2 3 6 7" xfId="37940"/>
    <cellStyle name="Normal 6 2 2 3 60" xfId="8433"/>
    <cellStyle name="Normal 6 2 2 3 60 2" xfId="15514"/>
    <cellStyle name="Normal 6 2 2 3 60 3" xfId="20631"/>
    <cellStyle name="Normal 6 2 2 3 60 4" xfId="25674"/>
    <cellStyle name="Normal 6 2 2 3 60 5" xfId="30635"/>
    <cellStyle name="Normal 6 2 2 3 60 6" xfId="35493"/>
    <cellStyle name="Normal 6 2 2 3 60 7" xfId="40224"/>
    <cellStyle name="Normal 6 2 2 3 61" xfId="8846"/>
    <cellStyle name="Normal 6 2 2 3 61 2" xfId="15927"/>
    <cellStyle name="Normal 6 2 2 3 61 3" xfId="21044"/>
    <cellStyle name="Normal 6 2 2 3 61 4" xfId="26087"/>
    <cellStyle name="Normal 6 2 2 3 61 5" xfId="31048"/>
    <cellStyle name="Normal 6 2 2 3 61 6" xfId="35906"/>
    <cellStyle name="Normal 6 2 2 3 61 7" xfId="40637"/>
    <cellStyle name="Normal 6 2 2 3 62" xfId="8553"/>
    <cellStyle name="Normal 6 2 2 3 62 2" xfId="15634"/>
    <cellStyle name="Normal 6 2 2 3 62 3" xfId="20751"/>
    <cellStyle name="Normal 6 2 2 3 62 4" xfId="25794"/>
    <cellStyle name="Normal 6 2 2 3 62 5" xfId="30755"/>
    <cellStyle name="Normal 6 2 2 3 62 6" xfId="35613"/>
    <cellStyle name="Normal 6 2 2 3 62 7" xfId="40344"/>
    <cellStyle name="Normal 6 2 2 3 63" xfId="9398"/>
    <cellStyle name="Normal 6 2 2 3 63 2" xfId="16479"/>
    <cellStyle name="Normal 6 2 2 3 63 3" xfId="21596"/>
    <cellStyle name="Normal 6 2 2 3 63 4" xfId="26639"/>
    <cellStyle name="Normal 6 2 2 3 63 5" xfId="31600"/>
    <cellStyle name="Normal 6 2 2 3 63 6" xfId="36458"/>
    <cellStyle name="Normal 6 2 2 3 63 7" xfId="41189"/>
    <cellStyle name="Normal 6 2 2 3 64" xfId="9110"/>
    <cellStyle name="Normal 6 2 2 3 64 2" xfId="16191"/>
    <cellStyle name="Normal 6 2 2 3 64 3" xfId="21308"/>
    <cellStyle name="Normal 6 2 2 3 64 4" xfId="26351"/>
    <cellStyle name="Normal 6 2 2 3 64 5" xfId="31312"/>
    <cellStyle name="Normal 6 2 2 3 64 6" xfId="36170"/>
    <cellStyle name="Normal 6 2 2 3 64 7" xfId="40901"/>
    <cellStyle name="Normal 6 2 2 3 65" xfId="9316"/>
    <cellStyle name="Normal 6 2 2 3 65 2" xfId="16397"/>
    <cellStyle name="Normal 6 2 2 3 65 3" xfId="21514"/>
    <cellStyle name="Normal 6 2 2 3 65 4" xfId="26557"/>
    <cellStyle name="Normal 6 2 2 3 65 5" xfId="31518"/>
    <cellStyle name="Normal 6 2 2 3 65 6" xfId="36376"/>
    <cellStyle name="Normal 6 2 2 3 65 7" xfId="41107"/>
    <cellStyle name="Normal 6 2 2 3 66" xfId="9147"/>
    <cellStyle name="Normal 6 2 2 3 66 2" xfId="16228"/>
    <cellStyle name="Normal 6 2 2 3 66 3" xfId="21345"/>
    <cellStyle name="Normal 6 2 2 3 66 4" xfId="26388"/>
    <cellStyle name="Normal 6 2 2 3 66 5" xfId="31349"/>
    <cellStyle name="Normal 6 2 2 3 66 6" xfId="36207"/>
    <cellStyle name="Normal 6 2 2 3 66 7" xfId="40938"/>
    <cellStyle name="Normal 6 2 2 3 67" xfId="9418"/>
    <cellStyle name="Normal 6 2 2 3 67 2" xfId="16499"/>
    <cellStyle name="Normal 6 2 2 3 67 3" xfId="21616"/>
    <cellStyle name="Normal 6 2 2 3 67 4" xfId="26659"/>
    <cellStyle name="Normal 6 2 2 3 67 5" xfId="31620"/>
    <cellStyle name="Normal 6 2 2 3 67 6" xfId="36478"/>
    <cellStyle name="Normal 6 2 2 3 67 7" xfId="41209"/>
    <cellStyle name="Normal 6 2 2 3 68" xfId="9179"/>
    <cellStyle name="Normal 6 2 2 3 68 2" xfId="16260"/>
    <cellStyle name="Normal 6 2 2 3 68 3" xfId="21377"/>
    <cellStyle name="Normal 6 2 2 3 68 4" xfId="26420"/>
    <cellStyle name="Normal 6 2 2 3 68 5" xfId="31381"/>
    <cellStyle name="Normal 6 2 2 3 68 6" xfId="36239"/>
    <cellStyle name="Normal 6 2 2 3 68 7" xfId="40970"/>
    <cellStyle name="Normal 6 2 2 3 69" xfId="9345"/>
    <cellStyle name="Normal 6 2 2 3 69 2" xfId="16426"/>
    <cellStyle name="Normal 6 2 2 3 69 3" xfId="21543"/>
    <cellStyle name="Normal 6 2 2 3 69 4" xfId="26586"/>
    <cellStyle name="Normal 6 2 2 3 69 5" xfId="31547"/>
    <cellStyle name="Normal 6 2 2 3 69 6" xfId="36405"/>
    <cellStyle name="Normal 6 2 2 3 69 7" xfId="41136"/>
    <cellStyle name="Normal 6 2 2 3 7" xfId="4586"/>
    <cellStyle name="Normal 6 2 2 3 7 2" xfId="5945"/>
    <cellStyle name="Normal 6 2 2 3 7 3" xfId="18047"/>
    <cellStyle name="Normal 6 2 2 3 7 4" xfId="23090"/>
    <cellStyle name="Normal 6 2 2 3 7 5" xfId="28051"/>
    <cellStyle name="Normal 6 2 2 3 7 6" xfId="32909"/>
    <cellStyle name="Normal 6 2 2 3 7 7" xfId="37640"/>
    <cellStyle name="Normal 6 2 2 3 70" xfId="9134"/>
    <cellStyle name="Normal 6 2 2 3 70 2" xfId="16215"/>
    <cellStyle name="Normal 6 2 2 3 70 3" xfId="21332"/>
    <cellStyle name="Normal 6 2 2 3 70 4" xfId="26375"/>
    <cellStyle name="Normal 6 2 2 3 70 5" xfId="31336"/>
    <cellStyle name="Normal 6 2 2 3 70 6" xfId="36194"/>
    <cellStyle name="Normal 6 2 2 3 70 7" xfId="40925"/>
    <cellStyle name="Normal 6 2 2 3 71" xfId="9257"/>
    <cellStyle name="Normal 6 2 2 3 71 2" xfId="16338"/>
    <cellStyle name="Normal 6 2 2 3 71 3" xfId="21455"/>
    <cellStyle name="Normal 6 2 2 3 71 4" xfId="26498"/>
    <cellStyle name="Normal 6 2 2 3 71 5" xfId="31459"/>
    <cellStyle name="Normal 6 2 2 3 71 6" xfId="36317"/>
    <cellStyle name="Normal 6 2 2 3 71 7" xfId="41048"/>
    <cellStyle name="Normal 6 2 2 3 72" xfId="9208"/>
    <cellStyle name="Normal 6 2 2 3 72 2" xfId="16289"/>
    <cellStyle name="Normal 6 2 2 3 72 3" xfId="21406"/>
    <cellStyle name="Normal 6 2 2 3 72 4" xfId="26449"/>
    <cellStyle name="Normal 6 2 2 3 72 5" xfId="31410"/>
    <cellStyle name="Normal 6 2 2 3 72 6" xfId="36268"/>
    <cellStyle name="Normal 6 2 2 3 72 7" xfId="40999"/>
    <cellStyle name="Normal 6 2 2 3 73" xfId="9442"/>
    <cellStyle name="Normal 6 2 2 3 73 2" xfId="16523"/>
    <cellStyle name="Normal 6 2 2 3 73 3" xfId="21640"/>
    <cellStyle name="Normal 6 2 2 3 73 4" xfId="26683"/>
    <cellStyle name="Normal 6 2 2 3 73 5" xfId="31644"/>
    <cellStyle name="Normal 6 2 2 3 73 6" xfId="36502"/>
    <cellStyle name="Normal 6 2 2 3 73 7" xfId="41233"/>
    <cellStyle name="Normal 6 2 2 3 74" xfId="9586"/>
    <cellStyle name="Normal 6 2 2 3 74 2" xfId="16667"/>
    <cellStyle name="Normal 6 2 2 3 74 3" xfId="21784"/>
    <cellStyle name="Normal 6 2 2 3 74 4" xfId="26827"/>
    <cellStyle name="Normal 6 2 2 3 74 5" xfId="31788"/>
    <cellStyle name="Normal 6 2 2 3 74 6" xfId="36646"/>
    <cellStyle name="Normal 6 2 2 3 74 7" xfId="41377"/>
    <cellStyle name="Normal 6 2 2 3 75" xfId="9893"/>
    <cellStyle name="Normal 6 2 2 3 75 2" xfId="16974"/>
    <cellStyle name="Normal 6 2 2 3 75 3" xfId="22091"/>
    <cellStyle name="Normal 6 2 2 3 75 4" xfId="27134"/>
    <cellStyle name="Normal 6 2 2 3 75 5" xfId="32095"/>
    <cellStyle name="Normal 6 2 2 3 75 6" xfId="36953"/>
    <cellStyle name="Normal 6 2 2 3 75 7" xfId="41684"/>
    <cellStyle name="Normal 6 2 2 3 76" xfId="9746"/>
    <cellStyle name="Normal 6 2 2 3 76 2" xfId="16827"/>
    <cellStyle name="Normal 6 2 2 3 76 3" xfId="21944"/>
    <cellStyle name="Normal 6 2 2 3 76 4" xfId="26987"/>
    <cellStyle name="Normal 6 2 2 3 76 5" xfId="31948"/>
    <cellStyle name="Normal 6 2 2 3 76 6" xfId="36806"/>
    <cellStyle name="Normal 6 2 2 3 76 7" xfId="41537"/>
    <cellStyle name="Normal 6 2 2 3 77" xfId="9845"/>
    <cellStyle name="Normal 6 2 2 3 77 2" xfId="16926"/>
    <cellStyle name="Normal 6 2 2 3 77 3" xfId="22043"/>
    <cellStyle name="Normal 6 2 2 3 77 4" xfId="27086"/>
    <cellStyle name="Normal 6 2 2 3 77 5" xfId="32047"/>
    <cellStyle name="Normal 6 2 2 3 77 6" xfId="36905"/>
    <cellStyle name="Normal 6 2 2 3 77 7" xfId="41636"/>
    <cellStyle name="Normal 6 2 2 3 78" xfId="9764"/>
    <cellStyle name="Normal 6 2 2 3 78 2" xfId="16845"/>
    <cellStyle name="Normal 6 2 2 3 78 3" xfId="21962"/>
    <cellStyle name="Normal 6 2 2 3 78 4" xfId="27005"/>
    <cellStyle name="Normal 6 2 2 3 78 5" xfId="31966"/>
    <cellStyle name="Normal 6 2 2 3 78 6" xfId="36824"/>
    <cellStyle name="Normal 6 2 2 3 78 7" xfId="41555"/>
    <cellStyle name="Normal 6 2 2 3 79" xfId="9906"/>
    <cellStyle name="Normal 6 2 2 3 79 2" xfId="16987"/>
    <cellStyle name="Normal 6 2 2 3 79 3" xfId="22104"/>
    <cellStyle name="Normal 6 2 2 3 79 4" xfId="27147"/>
    <cellStyle name="Normal 6 2 2 3 79 5" xfId="32108"/>
    <cellStyle name="Normal 6 2 2 3 79 6" xfId="36966"/>
    <cellStyle name="Normal 6 2 2 3 79 7" xfId="41697"/>
    <cellStyle name="Normal 6 2 2 3 8" xfId="4504"/>
    <cellStyle name="Normal 6 2 2 3 8 2" xfId="6155"/>
    <cellStyle name="Normal 6 2 2 3 8 3" xfId="18259"/>
    <cellStyle name="Normal 6 2 2 3 8 4" xfId="23302"/>
    <cellStyle name="Normal 6 2 2 3 8 5" xfId="28263"/>
    <cellStyle name="Normal 6 2 2 3 8 6" xfId="33121"/>
    <cellStyle name="Normal 6 2 2 3 8 7" xfId="37852"/>
    <cellStyle name="Normal 6 2 2 3 80" xfId="9778"/>
    <cellStyle name="Normal 6 2 2 3 80 2" xfId="16859"/>
    <cellStyle name="Normal 6 2 2 3 80 3" xfId="21976"/>
    <cellStyle name="Normal 6 2 2 3 80 4" xfId="27019"/>
    <cellStyle name="Normal 6 2 2 3 80 5" xfId="31980"/>
    <cellStyle name="Normal 6 2 2 3 80 6" xfId="36838"/>
    <cellStyle name="Normal 6 2 2 3 80 7" xfId="41569"/>
    <cellStyle name="Normal 6 2 2 3 81" xfId="10223"/>
    <cellStyle name="Normal 6 2 2 3 81 2" xfId="17304"/>
    <cellStyle name="Normal 6 2 2 3 81 3" xfId="22421"/>
    <cellStyle name="Normal 6 2 2 3 81 4" xfId="27464"/>
    <cellStyle name="Normal 6 2 2 3 81 5" xfId="32425"/>
    <cellStyle name="Normal 6 2 2 3 81 6" xfId="37283"/>
    <cellStyle name="Normal 6 2 2 3 81 7" xfId="42014"/>
    <cellStyle name="Normal 6 2 2 3 82" xfId="10076"/>
    <cellStyle name="Normal 6 2 2 3 82 2" xfId="17157"/>
    <cellStyle name="Normal 6 2 2 3 82 3" xfId="22274"/>
    <cellStyle name="Normal 6 2 2 3 82 4" xfId="27317"/>
    <cellStyle name="Normal 6 2 2 3 82 5" xfId="32278"/>
    <cellStyle name="Normal 6 2 2 3 82 6" xfId="37136"/>
    <cellStyle name="Normal 6 2 2 3 82 7" xfId="41867"/>
    <cellStyle name="Normal 6 2 2 3 83" xfId="10175"/>
    <cellStyle name="Normal 6 2 2 3 83 2" xfId="17256"/>
    <cellStyle name="Normal 6 2 2 3 83 3" xfId="22373"/>
    <cellStyle name="Normal 6 2 2 3 83 4" xfId="27416"/>
    <cellStyle name="Normal 6 2 2 3 83 5" xfId="32377"/>
    <cellStyle name="Normal 6 2 2 3 83 6" xfId="37235"/>
    <cellStyle name="Normal 6 2 2 3 83 7" xfId="41966"/>
    <cellStyle name="Normal 6 2 2 3 84" xfId="10094"/>
    <cellStyle name="Normal 6 2 2 3 84 2" xfId="17175"/>
    <cellStyle name="Normal 6 2 2 3 84 3" xfId="22292"/>
    <cellStyle name="Normal 6 2 2 3 84 4" xfId="27335"/>
    <cellStyle name="Normal 6 2 2 3 84 5" xfId="32296"/>
    <cellStyle name="Normal 6 2 2 3 84 6" xfId="37154"/>
    <cellStyle name="Normal 6 2 2 3 84 7" xfId="41885"/>
    <cellStyle name="Normal 6 2 2 3 85" xfId="10236"/>
    <cellStyle name="Normal 6 2 2 3 85 2" xfId="17317"/>
    <cellStyle name="Normal 6 2 2 3 85 3" xfId="22434"/>
    <cellStyle name="Normal 6 2 2 3 85 4" xfId="27477"/>
    <cellStyle name="Normal 6 2 2 3 85 5" xfId="32438"/>
    <cellStyle name="Normal 6 2 2 3 85 6" xfId="37296"/>
    <cellStyle name="Normal 6 2 2 3 85 7" xfId="42027"/>
    <cellStyle name="Normal 6 2 2 3 86" xfId="10108"/>
    <cellStyle name="Normal 6 2 2 3 86 2" xfId="17189"/>
    <cellStyle name="Normal 6 2 2 3 86 3" xfId="22306"/>
    <cellStyle name="Normal 6 2 2 3 86 4" xfId="27349"/>
    <cellStyle name="Normal 6 2 2 3 86 5" xfId="32310"/>
    <cellStyle name="Normal 6 2 2 3 86 6" xfId="37168"/>
    <cellStyle name="Normal 6 2 2 3 86 7" xfId="41899"/>
    <cellStyle name="Normal 6 2 2 3 87" xfId="13054"/>
    <cellStyle name="Normal 6 2 2 3 88" xfId="12025"/>
    <cellStyle name="Normal 6 2 2 3 89" xfId="12677"/>
    <cellStyle name="Normal 6 2 2 3 9" xfId="4534"/>
    <cellStyle name="Normal 6 2 2 3 9 2" xfId="5889"/>
    <cellStyle name="Normal 6 2 2 3 9 3" xfId="17989"/>
    <cellStyle name="Normal 6 2 2 3 9 4" xfId="23032"/>
    <cellStyle name="Normal 6 2 2 3 9 5" xfId="27993"/>
    <cellStyle name="Normal 6 2 2 3 9 6" xfId="32851"/>
    <cellStyle name="Normal 6 2 2 3 9 7" xfId="37582"/>
    <cellStyle name="Normal 6 2 2 3 90" xfId="12905"/>
    <cellStyle name="Normal 6 2 2 3 91" xfId="13781"/>
    <cellStyle name="Normal 6 2 2 3 92" xfId="17524"/>
    <cellStyle name="Normal 6 2 2 30" xfId="5756"/>
    <cellStyle name="Normal 6 2 2 30 2" xfId="14440"/>
    <cellStyle name="Normal 6 2 2 30 3" xfId="19464"/>
    <cellStyle name="Normal 6 2 2 30 4" xfId="24507"/>
    <cellStyle name="Normal 6 2 2 30 5" xfId="29468"/>
    <cellStyle name="Normal 6 2 2 30 6" xfId="34326"/>
    <cellStyle name="Normal 6 2 2 30 7" xfId="39057"/>
    <cellStyle name="Normal 6 2 2 31" xfId="7345"/>
    <cellStyle name="Normal 6 2 2 31 2" xfId="14467"/>
    <cellStyle name="Normal 6 2 2 31 3" xfId="19518"/>
    <cellStyle name="Normal 6 2 2 31 4" xfId="24561"/>
    <cellStyle name="Normal 6 2 2 31 5" xfId="29522"/>
    <cellStyle name="Normal 6 2 2 31 6" xfId="34380"/>
    <cellStyle name="Normal 6 2 2 31 7" xfId="39111"/>
    <cellStyle name="Normal 6 2 2 32" xfId="6917"/>
    <cellStyle name="Normal 6 2 2 32 2" xfId="14243"/>
    <cellStyle name="Normal 6 2 2 32 3" xfId="19045"/>
    <cellStyle name="Normal 6 2 2 32 4" xfId="24088"/>
    <cellStyle name="Normal 6 2 2 32 5" xfId="29049"/>
    <cellStyle name="Normal 6 2 2 32 6" xfId="33907"/>
    <cellStyle name="Normal 6 2 2 32 7" xfId="38638"/>
    <cellStyle name="Normal 6 2 2 33" xfId="6994"/>
    <cellStyle name="Normal 6 2 2 33 2" xfId="14291"/>
    <cellStyle name="Normal 6 2 2 33 3" xfId="19131"/>
    <cellStyle name="Normal 6 2 2 33 4" xfId="24174"/>
    <cellStyle name="Normal 6 2 2 33 5" xfId="29135"/>
    <cellStyle name="Normal 6 2 2 33 6" xfId="33993"/>
    <cellStyle name="Normal 6 2 2 33 7" xfId="38724"/>
    <cellStyle name="Normal 6 2 2 34" xfId="7242"/>
    <cellStyle name="Normal 6 2 2 34 2" xfId="14410"/>
    <cellStyle name="Normal 6 2 2 34 3" xfId="19404"/>
    <cellStyle name="Normal 6 2 2 34 4" xfId="24447"/>
    <cellStyle name="Normal 6 2 2 34 5" xfId="29408"/>
    <cellStyle name="Normal 6 2 2 34 6" xfId="34266"/>
    <cellStyle name="Normal 6 2 2 34 7" xfId="38997"/>
    <cellStyle name="Normal 6 2 2 35" xfId="6989"/>
    <cellStyle name="Normal 6 2 2 35 2" xfId="14285"/>
    <cellStyle name="Normal 6 2 2 35 3" xfId="19124"/>
    <cellStyle name="Normal 6 2 2 35 4" xfId="24167"/>
    <cellStyle name="Normal 6 2 2 35 5" xfId="29128"/>
    <cellStyle name="Normal 6 2 2 35 6" xfId="33986"/>
    <cellStyle name="Normal 6 2 2 35 7" xfId="38717"/>
    <cellStyle name="Normal 6 2 2 36" xfId="7648"/>
    <cellStyle name="Normal 6 2 2 36 2" xfId="14728"/>
    <cellStyle name="Normal 6 2 2 36 3" xfId="19845"/>
    <cellStyle name="Normal 6 2 2 36 4" xfId="24888"/>
    <cellStyle name="Normal 6 2 2 36 5" xfId="29849"/>
    <cellStyle name="Normal 6 2 2 36 6" xfId="34707"/>
    <cellStyle name="Normal 6 2 2 36 7" xfId="39438"/>
    <cellStyle name="Normal 6 2 2 37" xfId="7893"/>
    <cellStyle name="Normal 6 2 2 37 2" xfId="14973"/>
    <cellStyle name="Normal 6 2 2 37 3" xfId="20090"/>
    <cellStyle name="Normal 6 2 2 37 4" xfId="25133"/>
    <cellStyle name="Normal 6 2 2 37 5" xfId="30094"/>
    <cellStyle name="Normal 6 2 2 37 6" xfId="34952"/>
    <cellStyle name="Normal 6 2 2 37 7" xfId="39683"/>
    <cellStyle name="Normal 6 2 2 38" xfId="8025"/>
    <cellStyle name="Normal 6 2 2 38 2" xfId="15105"/>
    <cellStyle name="Normal 6 2 2 38 3" xfId="20222"/>
    <cellStyle name="Normal 6 2 2 38 4" xfId="25265"/>
    <cellStyle name="Normal 6 2 2 38 5" xfId="30226"/>
    <cellStyle name="Normal 6 2 2 38 6" xfId="35084"/>
    <cellStyle name="Normal 6 2 2 38 7" xfId="39815"/>
    <cellStyle name="Normal 6 2 2 39" xfId="7862"/>
    <cellStyle name="Normal 6 2 2 39 2" xfId="14942"/>
    <cellStyle name="Normal 6 2 2 39 3" xfId="20059"/>
    <cellStyle name="Normal 6 2 2 39 4" xfId="25102"/>
    <cellStyle name="Normal 6 2 2 39 5" xfId="30063"/>
    <cellStyle name="Normal 6 2 2 39 6" xfId="34921"/>
    <cellStyle name="Normal 6 2 2 39 7" xfId="39652"/>
    <cellStyle name="Normal 6 2 2 4" xfId="4246"/>
    <cellStyle name="Normal 6 2 2 4 2" xfId="6000"/>
    <cellStyle name="Normal 6 2 2 4 3" xfId="18103"/>
    <cellStyle name="Normal 6 2 2 4 4" xfId="23146"/>
    <cellStyle name="Normal 6 2 2 4 5" xfId="28107"/>
    <cellStyle name="Normal 6 2 2 4 6" xfId="32965"/>
    <cellStyle name="Normal 6 2 2 4 7" xfId="37696"/>
    <cellStyle name="Normal 6 2 2 40" xfId="7937"/>
    <cellStyle name="Normal 6 2 2 40 2" xfId="15017"/>
    <cellStyle name="Normal 6 2 2 40 3" xfId="20134"/>
    <cellStyle name="Normal 6 2 2 40 4" xfId="25177"/>
    <cellStyle name="Normal 6 2 2 40 5" xfId="30138"/>
    <cellStyle name="Normal 6 2 2 40 6" xfId="34996"/>
    <cellStyle name="Normal 6 2 2 40 7" xfId="39727"/>
    <cellStyle name="Normal 6 2 2 41" xfId="7873"/>
    <cellStyle name="Normal 6 2 2 41 2" xfId="14953"/>
    <cellStyle name="Normal 6 2 2 41 3" xfId="20070"/>
    <cellStyle name="Normal 6 2 2 41 4" xfId="25113"/>
    <cellStyle name="Normal 6 2 2 41 5" xfId="30074"/>
    <cellStyle name="Normal 6 2 2 41 6" xfId="34932"/>
    <cellStyle name="Normal 6 2 2 41 7" xfId="39663"/>
    <cellStyle name="Normal 6 2 2 42" xfId="7997"/>
    <cellStyle name="Normal 6 2 2 42 2" xfId="15077"/>
    <cellStyle name="Normal 6 2 2 42 3" xfId="20194"/>
    <cellStyle name="Normal 6 2 2 42 4" xfId="25237"/>
    <cellStyle name="Normal 6 2 2 42 5" xfId="30198"/>
    <cellStyle name="Normal 6 2 2 42 6" xfId="35056"/>
    <cellStyle name="Normal 6 2 2 42 7" xfId="39787"/>
    <cellStyle name="Normal 6 2 2 43" xfId="8064"/>
    <cellStyle name="Normal 6 2 2 43 2" xfId="15144"/>
    <cellStyle name="Normal 6 2 2 43 3" xfId="20261"/>
    <cellStyle name="Normal 6 2 2 43 4" xfId="25304"/>
    <cellStyle name="Normal 6 2 2 43 5" xfId="30265"/>
    <cellStyle name="Normal 6 2 2 43 6" xfId="35123"/>
    <cellStyle name="Normal 6 2 2 43 7" xfId="39854"/>
    <cellStyle name="Normal 6 2 2 44" xfId="7514"/>
    <cellStyle name="Normal 6 2 2 44 2" xfId="14592"/>
    <cellStyle name="Normal 6 2 2 44 3" xfId="19709"/>
    <cellStyle name="Normal 6 2 2 44 4" xfId="24752"/>
    <cellStyle name="Normal 6 2 2 44 5" xfId="29713"/>
    <cellStyle name="Normal 6 2 2 44 6" xfId="34571"/>
    <cellStyle name="Normal 6 2 2 44 7" xfId="39302"/>
    <cellStyle name="Normal 6 2 2 45" xfId="7616"/>
    <cellStyle name="Normal 6 2 2 45 2" xfId="14696"/>
    <cellStyle name="Normal 6 2 2 45 3" xfId="19813"/>
    <cellStyle name="Normal 6 2 2 45 4" xfId="24856"/>
    <cellStyle name="Normal 6 2 2 45 5" xfId="29817"/>
    <cellStyle name="Normal 6 2 2 45 6" xfId="34675"/>
    <cellStyle name="Normal 6 2 2 45 7" xfId="39406"/>
    <cellStyle name="Normal 6 2 2 46" xfId="7922"/>
    <cellStyle name="Normal 6 2 2 46 2" xfId="15002"/>
    <cellStyle name="Normal 6 2 2 46 3" xfId="20119"/>
    <cellStyle name="Normal 6 2 2 46 4" xfId="25162"/>
    <cellStyle name="Normal 6 2 2 46 5" xfId="30123"/>
    <cellStyle name="Normal 6 2 2 46 6" xfId="34981"/>
    <cellStyle name="Normal 6 2 2 46 7" xfId="39712"/>
    <cellStyle name="Normal 6 2 2 47" xfId="7609"/>
    <cellStyle name="Normal 6 2 2 47 2" xfId="14689"/>
    <cellStyle name="Normal 6 2 2 47 3" xfId="19806"/>
    <cellStyle name="Normal 6 2 2 47 4" xfId="24849"/>
    <cellStyle name="Normal 6 2 2 47 5" xfId="29810"/>
    <cellStyle name="Normal 6 2 2 47 6" xfId="34668"/>
    <cellStyle name="Normal 6 2 2 47 7" xfId="39399"/>
    <cellStyle name="Normal 6 2 2 48" xfId="7684"/>
    <cellStyle name="Normal 6 2 2 48 2" xfId="14764"/>
    <cellStyle name="Normal 6 2 2 48 3" xfId="19881"/>
    <cellStyle name="Normal 6 2 2 48 4" xfId="24924"/>
    <cellStyle name="Normal 6 2 2 48 5" xfId="29885"/>
    <cellStyle name="Normal 6 2 2 48 6" xfId="34743"/>
    <cellStyle name="Normal 6 2 2 48 7" xfId="39474"/>
    <cellStyle name="Normal 6 2 2 49" xfId="7941"/>
    <cellStyle name="Normal 6 2 2 49 2" xfId="15021"/>
    <cellStyle name="Normal 6 2 2 49 3" xfId="20138"/>
    <cellStyle name="Normal 6 2 2 49 4" xfId="25181"/>
    <cellStyle name="Normal 6 2 2 49 5" xfId="30142"/>
    <cellStyle name="Normal 6 2 2 49 6" xfId="35000"/>
    <cellStyle name="Normal 6 2 2 49 7" xfId="39731"/>
    <cellStyle name="Normal 6 2 2 5" xfId="4260"/>
    <cellStyle name="Normal 6 2 2 5 2" xfId="6273"/>
    <cellStyle name="Normal 6 2 2 5 3" xfId="18377"/>
    <cellStyle name="Normal 6 2 2 5 4" xfId="23420"/>
    <cellStyle name="Normal 6 2 2 5 5" xfId="28381"/>
    <cellStyle name="Normal 6 2 2 5 6" xfId="33239"/>
    <cellStyle name="Normal 6 2 2 5 7" xfId="37970"/>
    <cellStyle name="Normal 6 2 2 50" xfId="8420"/>
    <cellStyle name="Normal 6 2 2 50 2" xfId="15501"/>
    <cellStyle name="Normal 6 2 2 50 3" xfId="20618"/>
    <cellStyle name="Normal 6 2 2 50 4" xfId="25661"/>
    <cellStyle name="Normal 6 2 2 50 5" xfId="30622"/>
    <cellStyle name="Normal 6 2 2 50 6" xfId="35480"/>
    <cellStyle name="Normal 6 2 2 50 7" xfId="40211"/>
    <cellStyle name="Normal 6 2 2 51" xfId="8696"/>
    <cellStyle name="Normal 6 2 2 51 2" xfId="15777"/>
    <cellStyle name="Normal 6 2 2 51 3" xfId="20894"/>
    <cellStyle name="Normal 6 2 2 51 4" xfId="25937"/>
    <cellStyle name="Normal 6 2 2 51 5" xfId="30898"/>
    <cellStyle name="Normal 6 2 2 51 6" xfId="35756"/>
    <cellStyle name="Normal 6 2 2 51 7" xfId="40487"/>
    <cellStyle name="Normal 6 2 2 52" xfId="8823"/>
    <cellStyle name="Normal 6 2 2 52 2" xfId="15904"/>
    <cellStyle name="Normal 6 2 2 52 3" xfId="21021"/>
    <cellStyle name="Normal 6 2 2 52 4" xfId="26064"/>
    <cellStyle name="Normal 6 2 2 52 5" xfId="31025"/>
    <cellStyle name="Normal 6 2 2 52 6" xfId="35883"/>
    <cellStyle name="Normal 6 2 2 52 7" xfId="40614"/>
    <cellStyle name="Normal 6 2 2 53" xfId="8660"/>
    <cellStyle name="Normal 6 2 2 53 2" xfId="15741"/>
    <cellStyle name="Normal 6 2 2 53 3" xfId="20858"/>
    <cellStyle name="Normal 6 2 2 53 4" xfId="25901"/>
    <cellStyle name="Normal 6 2 2 53 5" xfId="30862"/>
    <cellStyle name="Normal 6 2 2 53 6" xfId="35720"/>
    <cellStyle name="Normal 6 2 2 53 7" xfId="40451"/>
    <cellStyle name="Normal 6 2 2 54" xfId="8733"/>
    <cellStyle name="Normal 6 2 2 54 2" xfId="15814"/>
    <cellStyle name="Normal 6 2 2 54 3" xfId="20931"/>
    <cellStyle name="Normal 6 2 2 54 4" xfId="25974"/>
    <cellStyle name="Normal 6 2 2 54 5" xfId="30935"/>
    <cellStyle name="Normal 6 2 2 54 6" xfId="35793"/>
    <cellStyle name="Normal 6 2 2 54 7" xfId="40524"/>
    <cellStyle name="Normal 6 2 2 55" xfId="8674"/>
    <cellStyle name="Normal 6 2 2 55 2" xfId="15755"/>
    <cellStyle name="Normal 6 2 2 55 3" xfId="20872"/>
    <cellStyle name="Normal 6 2 2 55 4" xfId="25915"/>
    <cellStyle name="Normal 6 2 2 55 5" xfId="30876"/>
    <cellStyle name="Normal 6 2 2 55 6" xfId="35734"/>
    <cellStyle name="Normal 6 2 2 55 7" xfId="40465"/>
    <cellStyle name="Normal 6 2 2 56" xfId="8795"/>
    <cellStyle name="Normal 6 2 2 56 2" xfId="15876"/>
    <cellStyle name="Normal 6 2 2 56 3" xfId="20993"/>
    <cellStyle name="Normal 6 2 2 56 4" xfId="26036"/>
    <cellStyle name="Normal 6 2 2 56 5" xfId="30997"/>
    <cellStyle name="Normal 6 2 2 56 6" xfId="35855"/>
    <cellStyle name="Normal 6 2 2 56 7" xfId="40586"/>
    <cellStyle name="Normal 6 2 2 57" xfId="8361"/>
    <cellStyle name="Normal 6 2 2 57 2" xfId="15442"/>
    <cellStyle name="Normal 6 2 2 57 3" xfId="20559"/>
    <cellStyle name="Normal 6 2 2 57 4" xfId="25602"/>
    <cellStyle name="Normal 6 2 2 57 5" xfId="30563"/>
    <cellStyle name="Normal 6 2 2 57 6" xfId="35421"/>
    <cellStyle name="Normal 6 2 2 57 7" xfId="40152"/>
    <cellStyle name="Normal 6 2 2 58" xfId="8913"/>
    <cellStyle name="Normal 6 2 2 58 2" xfId="15994"/>
    <cellStyle name="Normal 6 2 2 58 3" xfId="21111"/>
    <cellStyle name="Normal 6 2 2 58 4" xfId="26154"/>
    <cellStyle name="Normal 6 2 2 58 5" xfId="31115"/>
    <cellStyle name="Normal 6 2 2 58 6" xfId="35973"/>
    <cellStyle name="Normal 6 2 2 58 7" xfId="40704"/>
    <cellStyle name="Normal 6 2 2 59" xfId="8609"/>
    <cellStyle name="Normal 6 2 2 59 2" xfId="15690"/>
    <cellStyle name="Normal 6 2 2 59 3" xfId="20807"/>
    <cellStyle name="Normal 6 2 2 59 4" xfId="25850"/>
    <cellStyle name="Normal 6 2 2 59 5" xfId="30811"/>
    <cellStyle name="Normal 6 2 2 59 6" xfId="35669"/>
    <cellStyle name="Normal 6 2 2 59 7" xfId="40400"/>
    <cellStyle name="Normal 6 2 2 6" xfId="4325"/>
    <cellStyle name="Normal 6 2 2 6 2" xfId="6416"/>
    <cellStyle name="Normal 6 2 2 6 3" xfId="18526"/>
    <cellStyle name="Normal 6 2 2 6 4" xfId="23569"/>
    <cellStyle name="Normal 6 2 2 6 5" xfId="28530"/>
    <cellStyle name="Normal 6 2 2 6 6" xfId="33388"/>
    <cellStyle name="Normal 6 2 2 6 7" xfId="38119"/>
    <cellStyle name="Normal 6 2 2 60" xfId="8680"/>
    <cellStyle name="Normal 6 2 2 60 2" xfId="15761"/>
    <cellStyle name="Normal 6 2 2 60 3" xfId="20878"/>
    <cellStyle name="Normal 6 2 2 60 4" xfId="25921"/>
    <cellStyle name="Normal 6 2 2 60 5" xfId="30882"/>
    <cellStyle name="Normal 6 2 2 60 6" xfId="35740"/>
    <cellStyle name="Normal 6 2 2 60 7" xfId="40471"/>
    <cellStyle name="Normal 6 2 2 61" xfId="8911"/>
    <cellStyle name="Normal 6 2 2 61 2" xfId="15992"/>
    <cellStyle name="Normal 6 2 2 61 3" xfId="21109"/>
    <cellStyle name="Normal 6 2 2 61 4" xfId="26152"/>
    <cellStyle name="Normal 6 2 2 61 5" xfId="31113"/>
    <cellStyle name="Normal 6 2 2 61 6" xfId="35971"/>
    <cellStyle name="Normal 6 2 2 61 7" xfId="40702"/>
    <cellStyle name="Normal 6 2 2 62" xfId="8257"/>
    <cellStyle name="Normal 6 2 2 62 2" xfId="15338"/>
    <cellStyle name="Normal 6 2 2 62 3" xfId="20455"/>
    <cellStyle name="Normal 6 2 2 62 4" xfId="25498"/>
    <cellStyle name="Normal 6 2 2 62 5" xfId="30459"/>
    <cellStyle name="Normal 6 2 2 62 6" xfId="35317"/>
    <cellStyle name="Normal 6 2 2 62 7" xfId="40048"/>
    <cellStyle name="Normal 6 2 2 63" xfId="8445"/>
    <cellStyle name="Normal 6 2 2 63 2" xfId="15526"/>
    <cellStyle name="Normal 6 2 2 63 3" xfId="20643"/>
    <cellStyle name="Normal 6 2 2 63 4" xfId="25686"/>
    <cellStyle name="Normal 6 2 2 63 5" xfId="30647"/>
    <cellStyle name="Normal 6 2 2 63 6" xfId="35505"/>
    <cellStyle name="Normal 6 2 2 63 7" xfId="40236"/>
    <cellStyle name="Normal 6 2 2 64" xfId="8970"/>
    <cellStyle name="Normal 6 2 2 64 2" xfId="16051"/>
    <cellStyle name="Normal 6 2 2 64 3" xfId="21168"/>
    <cellStyle name="Normal 6 2 2 64 4" xfId="26211"/>
    <cellStyle name="Normal 6 2 2 64 5" xfId="31172"/>
    <cellStyle name="Normal 6 2 2 64 6" xfId="36030"/>
    <cellStyle name="Normal 6 2 2 64 7" xfId="40761"/>
    <cellStyle name="Normal 6 2 2 65" xfId="9220"/>
    <cellStyle name="Normal 6 2 2 65 2" xfId="16301"/>
    <cellStyle name="Normal 6 2 2 65 3" xfId="21418"/>
    <cellStyle name="Normal 6 2 2 65 4" xfId="26461"/>
    <cellStyle name="Normal 6 2 2 65 5" xfId="31422"/>
    <cellStyle name="Normal 6 2 2 65 6" xfId="36280"/>
    <cellStyle name="Normal 6 2 2 65 7" xfId="41011"/>
    <cellStyle name="Normal 6 2 2 66" xfId="9441"/>
    <cellStyle name="Normal 6 2 2 66 2" xfId="16522"/>
    <cellStyle name="Normal 6 2 2 66 3" xfId="21639"/>
    <cellStyle name="Normal 6 2 2 66 4" xfId="26682"/>
    <cellStyle name="Normal 6 2 2 66 5" xfId="31643"/>
    <cellStyle name="Normal 6 2 2 66 6" xfId="36501"/>
    <cellStyle name="Normal 6 2 2 66 7" xfId="41232"/>
    <cellStyle name="Normal 6 2 2 67" xfId="9546"/>
    <cellStyle name="Normal 6 2 2 67 2" xfId="16627"/>
    <cellStyle name="Normal 6 2 2 67 3" xfId="21744"/>
    <cellStyle name="Normal 6 2 2 67 4" xfId="26787"/>
    <cellStyle name="Normal 6 2 2 67 5" xfId="31748"/>
    <cellStyle name="Normal 6 2 2 67 6" xfId="36606"/>
    <cellStyle name="Normal 6 2 2 67 7" xfId="41337"/>
    <cellStyle name="Normal 6 2 2 68" xfId="9414"/>
    <cellStyle name="Normal 6 2 2 68 2" xfId="16495"/>
    <cellStyle name="Normal 6 2 2 68 3" xfId="21612"/>
    <cellStyle name="Normal 6 2 2 68 4" xfId="26655"/>
    <cellStyle name="Normal 6 2 2 68 5" xfId="31616"/>
    <cellStyle name="Normal 6 2 2 68 6" xfId="36474"/>
    <cellStyle name="Normal 6 2 2 68 7" xfId="41205"/>
    <cellStyle name="Normal 6 2 2 69" xfId="9478"/>
    <cellStyle name="Normal 6 2 2 69 2" xfId="16559"/>
    <cellStyle name="Normal 6 2 2 69 3" xfId="21676"/>
    <cellStyle name="Normal 6 2 2 69 4" xfId="26719"/>
    <cellStyle name="Normal 6 2 2 69 5" xfId="31680"/>
    <cellStyle name="Normal 6 2 2 69 6" xfId="36538"/>
    <cellStyle name="Normal 6 2 2 69 7" xfId="41269"/>
    <cellStyle name="Normal 6 2 2 7" xfId="4388"/>
    <cellStyle name="Normal 6 2 2 7 2" xfId="6237"/>
    <cellStyle name="Normal 6 2 2 7 3" xfId="18341"/>
    <cellStyle name="Normal 6 2 2 7 4" xfId="23384"/>
    <cellStyle name="Normal 6 2 2 7 5" xfId="28345"/>
    <cellStyle name="Normal 6 2 2 7 6" xfId="33203"/>
    <cellStyle name="Normal 6 2 2 7 7" xfId="37934"/>
    <cellStyle name="Normal 6 2 2 70" xfId="9424"/>
    <cellStyle name="Normal 6 2 2 70 2" xfId="16505"/>
    <cellStyle name="Normal 6 2 2 70 3" xfId="21622"/>
    <cellStyle name="Normal 6 2 2 70 4" xfId="26665"/>
    <cellStyle name="Normal 6 2 2 70 5" xfId="31626"/>
    <cellStyle name="Normal 6 2 2 70 6" xfId="36484"/>
    <cellStyle name="Normal 6 2 2 70 7" xfId="41215"/>
    <cellStyle name="Normal 6 2 2 71" xfId="9524"/>
    <cellStyle name="Normal 6 2 2 71 2" xfId="16605"/>
    <cellStyle name="Normal 6 2 2 71 3" xfId="21722"/>
    <cellStyle name="Normal 6 2 2 71 4" xfId="26765"/>
    <cellStyle name="Normal 6 2 2 71 5" xfId="31726"/>
    <cellStyle name="Normal 6 2 2 71 6" xfId="36584"/>
    <cellStyle name="Normal 6 2 2 71 7" xfId="41315"/>
    <cellStyle name="Normal 6 2 2 72" xfId="9578"/>
    <cellStyle name="Normal 6 2 2 72 2" xfId="16659"/>
    <cellStyle name="Normal 6 2 2 72 3" xfId="21776"/>
    <cellStyle name="Normal 6 2 2 72 4" xfId="26819"/>
    <cellStyle name="Normal 6 2 2 72 5" xfId="31780"/>
    <cellStyle name="Normal 6 2 2 72 6" xfId="36638"/>
    <cellStyle name="Normal 6 2 2 72 7" xfId="41369"/>
    <cellStyle name="Normal 6 2 2 73" xfId="9105"/>
    <cellStyle name="Normal 6 2 2 73 2" xfId="16186"/>
    <cellStyle name="Normal 6 2 2 73 3" xfId="21303"/>
    <cellStyle name="Normal 6 2 2 73 4" xfId="26346"/>
    <cellStyle name="Normal 6 2 2 73 5" xfId="31307"/>
    <cellStyle name="Normal 6 2 2 73 6" xfId="36165"/>
    <cellStyle name="Normal 6 2 2 73 7" xfId="40896"/>
    <cellStyle name="Normal 6 2 2 74" xfId="9191"/>
    <cellStyle name="Normal 6 2 2 74 2" xfId="16272"/>
    <cellStyle name="Normal 6 2 2 74 3" xfId="21389"/>
    <cellStyle name="Normal 6 2 2 74 4" xfId="26432"/>
    <cellStyle name="Normal 6 2 2 74 5" xfId="31393"/>
    <cellStyle name="Normal 6 2 2 74 6" xfId="36251"/>
    <cellStyle name="Normal 6 2 2 74 7" xfId="40982"/>
    <cellStyle name="Normal 6 2 2 75" xfId="9464"/>
    <cellStyle name="Normal 6 2 2 75 2" xfId="16545"/>
    <cellStyle name="Normal 6 2 2 75 3" xfId="21662"/>
    <cellStyle name="Normal 6 2 2 75 4" xfId="26705"/>
    <cellStyle name="Normal 6 2 2 75 5" xfId="31666"/>
    <cellStyle name="Normal 6 2 2 75 6" xfId="36524"/>
    <cellStyle name="Normal 6 2 2 75 7" xfId="41255"/>
    <cellStyle name="Normal 6 2 2 76" xfId="9184"/>
    <cellStyle name="Normal 6 2 2 76 2" xfId="16265"/>
    <cellStyle name="Normal 6 2 2 76 3" xfId="21382"/>
    <cellStyle name="Normal 6 2 2 76 4" xfId="26425"/>
    <cellStyle name="Normal 6 2 2 76 5" xfId="31386"/>
    <cellStyle name="Normal 6 2 2 76 6" xfId="36244"/>
    <cellStyle name="Normal 6 2 2 76 7" xfId="40975"/>
    <cellStyle name="Normal 6 2 2 77" xfId="9797"/>
    <cellStyle name="Normal 6 2 2 77 2" xfId="16878"/>
    <cellStyle name="Normal 6 2 2 77 3" xfId="21995"/>
    <cellStyle name="Normal 6 2 2 77 4" xfId="27038"/>
    <cellStyle name="Normal 6 2 2 77 5" xfId="31999"/>
    <cellStyle name="Normal 6 2 2 77 6" xfId="36857"/>
    <cellStyle name="Normal 6 2 2 77 7" xfId="41588"/>
    <cellStyle name="Normal 6 2 2 78" xfId="9922"/>
    <cellStyle name="Normal 6 2 2 78 2" xfId="17003"/>
    <cellStyle name="Normal 6 2 2 78 3" xfId="22120"/>
    <cellStyle name="Normal 6 2 2 78 4" xfId="27163"/>
    <cellStyle name="Normal 6 2 2 78 5" xfId="32124"/>
    <cellStyle name="Normal 6 2 2 78 6" xfId="36982"/>
    <cellStyle name="Normal 6 2 2 78 7" xfId="41713"/>
    <cellStyle name="Normal 6 2 2 79" xfId="9971"/>
    <cellStyle name="Normal 6 2 2 79 2" xfId="17052"/>
    <cellStyle name="Normal 6 2 2 79 3" xfId="22169"/>
    <cellStyle name="Normal 6 2 2 79 4" xfId="27212"/>
    <cellStyle name="Normal 6 2 2 79 5" xfId="32173"/>
    <cellStyle name="Normal 6 2 2 79 6" xfId="37031"/>
    <cellStyle name="Normal 6 2 2 79 7" xfId="41762"/>
    <cellStyle name="Normal 6 2 2 8" xfId="4444"/>
    <cellStyle name="Normal 6 2 2 8 2" xfId="6321"/>
    <cellStyle name="Normal 6 2 2 8 3" xfId="18429"/>
    <cellStyle name="Normal 6 2 2 8 4" xfId="23472"/>
    <cellStyle name="Normal 6 2 2 8 5" xfId="28433"/>
    <cellStyle name="Normal 6 2 2 8 6" xfId="33291"/>
    <cellStyle name="Normal 6 2 2 8 7" xfId="38022"/>
    <cellStyle name="Normal 6 2 2 80" xfId="9903"/>
    <cellStyle name="Normal 6 2 2 80 2" xfId="16984"/>
    <cellStyle name="Normal 6 2 2 80 3" xfId="22101"/>
    <cellStyle name="Normal 6 2 2 80 4" xfId="27144"/>
    <cellStyle name="Normal 6 2 2 80 5" xfId="32105"/>
    <cellStyle name="Normal 6 2 2 80 6" xfId="36963"/>
    <cellStyle name="Normal 6 2 2 80 7" xfId="41694"/>
    <cellStyle name="Normal 6 2 2 81" xfId="9940"/>
    <cellStyle name="Normal 6 2 2 81 2" xfId="17021"/>
    <cellStyle name="Normal 6 2 2 81 3" xfId="22138"/>
    <cellStyle name="Normal 6 2 2 81 4" xfId="27181"/>
    <cellStyle name="Normal 6 2 2 81 5" xfId="32142"/>
    <cellStyle name="Normal 6 2 2 81 6" xfId="37000"/>
    <cellStyle name="Normal 6 2 2 81 7" xfId="41731"/>
    <cellStyle name="Normal 6 2 2 82" xfId="9910"/>
    <cellStyle name="Normal 6 2 2 82 2" xfId="16991"/>
    <cellStyle name="Normal 6 2 2 82 3" xfId="22108"/>
    <cellStyle name="Normal 6 2 2 82 4" xfId="27151"/>
    <cellStyle name="Normal 6 2 2 82 5" xfId="32112"/>
    <cellStyle name="Normal 6 2 2 82 6" xfId="36970"/>
    <cellStyle name="Normal 6 2 2 82 7" xfId="41701"/>
    <cellStyle name="Normal 6 2 2 83" xfId="10127"/>
    <cellStyle name="Normal 6 2 2 83 2" xfId="17208"/>
    <cellStyle name="Normal 6 2 2 83 3" xfId="22325"/>
    <cellStyle name="Normal 6 2 2 83 4" xfId="27368"/>
    <cellStyle name="Normal 6 2 2 83 5" xfId="32329"/>
    <cellStyle name="Normal 6 2 2 83 6" xfId="37187"/>
    <cellStyle name="Normal 6 2 2 83 7" xfId="41918"/>
    <cellStyle name="Normal 6 2 2 84" xfId="10252"/>
    <cellStyle name="Normal 6 2 2 84 2" xfId="17333"/>
    <cellStyle name="Normal 6 2 2 84 3" xfId="22450"/>
    <cellStyle name="Normal 6 2 2 84 4" xfId="27493"/>
    <cellStyle name="Normal 6 2 2 84 5" xfId="32454"/>
    <cellStyle name="Normal 6 2 2 84 6" xfId="37312"/>
    <cellStyle name="Normal 6 2 2 84 7" xfId="42043"/>
    <cellStyle name="Normal 6 2 2 85" xfId="10301"/>
    <cellStyle name="Normal 6 2 2 85 2" xfId="17382"/>
    <cellStyle name="Normal 6 2 2 85 3" xfId="22499"/>
    <cellStyle name="Normal 6 2 2 85 4" xfId="27542"/>
    <cellStyle name="Normal 6 2 2 85 5" xfId="32503"/>
    <cellStyle name="Normal 6 2 2 85 6" xfId="37361"/>
    <cellStyle name="Normal 6 2 2 85 7" xfId="42092"/>
    <cellStyle name="Normal 6 2 2 86" xfId="10233"/>
    <cellStyle name="Normal 6 2 2 86 2" xfId="17314"/>
    <cellStyle name="Normal 6 2 2 86 3" xfId="22431"/>
    <cellStyle name="Normal 6 2 2 86 4" xfId="27474"/>
    <cellStyle name="Normal 6 2 2 86 5" xfId="32435"/>
    <cellStyle name="Normal 6 2 2 86 6" xfId="37293"/>
    <cellStyle name="Normal 6 2 2 86 7" xfId="42024"/>
    <cellStyle name="Normal 6 2 2 87" xfId="10270"/>
    <cellStyle name="Normal 6 2 2 87 2" xfId="17351"/>
    <cellStyle name="Normal 6 2 2 87 3" xfId="22468"/>
    <cellStyle name="Normal 6 2 2 87 4" xfId="27511"/>
    <cellStyle name="Normal 6 2 2 87 5" xfId="32472"/>
    <cellStyle name="Normal 6 2 2 87 6" xfId="37330"/>
    <cellStyle name="Normal 6 2 2 87 7" xfId="42061"/>
    <cellStyle name="Normal 6 2 2 88" xfId="10240"/>
    <cellStyle name="Normal 6 2 2 88 2" xfId="17321"/>
    <cellStyle name="Normal 6 2 2 88 3" xfId="22438"/>
    <cellStyle name="Normal 6 2 2 88 4" xfId="27481"/>
    <cellStyle name="Normal 6 2 2 88 5" xfId="32442"/>
    <cellStyle name="Normal 6 2 2 88 6" xfId="37300"/>
    <cellStyle name="Normal 6 2 2 88 7" xfId="42031"/>
    <cellStyle name="Normal 6 2 2 89" xfId="12227"/>
    <cellStyle name="Normal 6 2 2 9" xfId="4528"/>
    <cellStyle name="Normal 6 2 2 9 2" xfId="6251"/>
    <cellStyle name="Normal 6 2 2 9 3" xfId="18355"/>
    <cellStyle name="Normal 6 2 2 9 4" xfId="23398"/>
    <cellStyle name="Normal 6 2 2 9 5" xfId="28359"/>
    <cellStyle name="Normal 6 2 2 9 6" xfId="33217"/>
    <cellStyle name="Normal 6 2 2 9 7" xfId="37948"/>
    <cellStyle name="Normal 6 2 2 90" xfId="12077"/>
    <cellStyle name="Normal 6 2 2 91" xfId="12806"/>
    <cellStyle name="Normal 6 2 2 92" xfId="12936"/>
    <cellStyle name="Normal 6 2 2 93" xfId="13968"/>
    <cellStyle name="Normal 6 2 2 94" xfId="17693"/>
    <cellStyle name="Normal 6 2 20" xfId="5040"/>
    <cellStyle name="Normal 6 2 20 2" xfId="6703"/>
    <cellStyle name="Normal 6 2 20 3" xfId="18824"/>
    <cellStyle name="Normal 6 2 20 4" xfId="23867"/>
    <cellStyle name="Normal 6 2 20 5" xfId="28828"/>
    <cellStyle name="Normal 6 2 20 6" xfId="33686"/>
    <cellStyle name="Normal 6 2 20 7" xfId="38417"/>
    <cellStyle name="Normal 6 2 21" xfId="5304"/>
    <cellStyle name="Normal 6 2 21 2" xfId="6843"/>
    <cellStyle name="Normal 6 2 21 3" xfId="18964"/>
    <cellStyle name="Normal 6 2 21 4" xfId="24007"/>
    <cellStyle name="Normal 6 2 21 5" xfId="28968"/>
    <cellStyle name="Normal 6 2 21 6" xfId="33826"/>
    <cellStyle name="Normal 6 2 21 7" xfId="38557"/>
    <cellStyle name="Normal 6 2 22" xfId="5598"/>
    <cellStyle name="Normal 6 2 22 2" xfId="6826"/>
    <cellStyle name="Normal 6 2 22 3" xfId="18947"/>
    <cellStyle name="Normal 6 2 22 4" xfId="23990"/>
    <cellStyle name="Normal 6 2 22 5" xfId="28951"/>
    <cellStyle name="Normal 6 2 22 6" xfId="33809"/>
    <cellStyle name="Normal 6 2 22 7" xfId="38540"/>
    <cellStyle name="Normal 6 2 23" xfId="5390"/>
    <cellStyle name="Normal 6 2 23 2" xfId="6790"/>
    <cellStyle name="Normal 6 2 23 3" xfId="18911"/>
    <cellStyle name="Normal 6 2 23 4" xfId="23954"/>
    <cellStyle name="Normal 6 2 23 5" xfId="28915"/>
    <cellStyle name="Normal 6 2 23 6" xfId="33773"/>
    <cellStyle name="Normal 6 2 23 7" xfId="38504"/>
    <cellStyle name="Normal 6 2 24" xfId="5467"/>
    <cellStyle name="Normal 6 2 24 2" xfId="7017"/>
    <cellStyle name="Normal 6 2 24 3" xfId="19156"/>
    <cellStyle name="Normal 6 2 24 4" xfId="24199"/>
    <cellStyle name="Normal 6 2 24 5" xfId="29160"/>
    <cellStyle name="Normal 6 2 24 6" xfId="34018"/>
    <cellStyle name="Normal 6 2 24 7" xfId="38749"/>
    <cellStyle name="Normal 6 2 25" xfId="5229"/>
    <cellStyle name="Normal 6 2 25 2" xfId="7366"/>
    <cellStyle name="Normal 6 2 25 3" xfId="19539"/>
    <cellStyle name="Normal 6 2 25 4" xfId="24582"/>
    <cellStyle name="Normal 6 2 25 5" xfId="29543"/>
    <cellStyle name="Normal 6 2 25 6" xfId="34401"/>
    <cellStyle name="Normal 6 2 25 7" xfId="39132"/>
    <cellStyle name="Normal 6 2 26" xfId="5185"/>
    <cellStyle name="Normal 6 2 26 2" xfId="7313"/>
    <cellStyle name="Normal 6 2 26 3" xfId="19483"/>
    <cellStyle name="Normal 6 2 26 4" xfId="24526"/>
    <cellStyle name="Normal 6 2 26 5" xfId="29487"/>
    <cellStyle name="Normal 6 2 26 6" xfId="34345"/>
    <cellStyle name="Normal 6 2 26 7" xfId="39076"/>
    <cellStyle name="Normal 6 2 27" xfId="5588"/>
    <cellStyle name="Normal 6 2 27 2" xfId="7207"/>
    <cellStyle name="Normal 6 2 27 3" xfId="19363"/>
    <cellStyle name="Normal 6 2 27 4" xfId="24406"/>
    <cellStyle name="Normal 6 2 27 5" xfId="29367"/>
    <cellStyle name="Normal 6 2 27 6" xfId="34225"/>
    <cellStyle name="Normal 6 2 27 7" xfId="38956"/>
    <cellStyle name="Normal 6 2 28" xfId="5319"/>
    <cellStyle name="Normal 6 2 28 2" xfId="7002"/>
    <cellStyle name="Normal 6 2 28 3" xfId="19141"/>
    <cellStyle name="Normal 6 2 28 4" xfId="24184"/>
    <cellStyle name="Normal 6 2 28 5" xfId="29145"/>
    <cellStyle name="Normal 6 2 28 6" xfId="34003"/>
    <cellStyle name="Normal 6 2 28 7" xfId="38734"/>
    <cellStyle name="Normal 6 2 29" xfId="5270"/>
    <cellStyle name="Normal 6 2 29 2" xfId="7061"/>
    <cellStyle name="Normal 6 2 29 3" xfId="19205"/>
    <cellStyle name="Normal 6 2 29 4" xfId="24248"/>
    <cellStyle name="Normal 6 2 29 5" xfId="29209"/>
    <cellStyle name="Normal 6 2 29 6" xfId="34067"/>
    <cellStyle name="Normal 6 2 29 7" xfId="38798"/>
    <cellStyle name="Normal 6 2 3" xfId="1339"/>
    <cellStyle name="Normal 6 2 3 10" xfId="4546"/>
    <cellStyle name="Normal 6 2 3 10 2" xfId="6316"/>
    <cellStyle name="Normal 6 2 3 10 3" xfId="18424"/>
    <cellStyle name="Normal 6 2 3 10 4" xfId="23467"/>
    <cellStyle name="Normal 6 2 3 10 5" xfId="28428"/>
    <cellStyle name="Normal 6 2 3 10 6" xfId="33286"/>
    <cellStyle name="Normal 6 2 3 10 7" xfId="38017"/>
    <cellStyle name="Normal 6 2 3 11" xfId="4676"/>
    <cellStyle name="Normal 6 2 3 11 2" xfId="6120"/>
    <cellStyle name="Normal 6 2 3 11 3" xfId="18224"/>
    <cellStyle name="Normal 6 2 3 11 4" xfId="23267"/>
    <cellStyle name="Normal 6 2 3 11 5" xfId="28228"/>
    <cellStyle name="Normal 6 2 3 11 6" xfId="33086"/>
    <cellStyle name="Normal 6 2 3 11 7" xfId="37817"/>
    <cellStyle name="Normal 6 2 3 12" xfId="4797"/>
    <cellStyle name="Normal 6 2 3 12 2" xfId="6073"/>
    <cellStyle name="Normal 6 2 3 12 3" xfId="18177"/>
    <cellStyle name="Normal 6 2 3 12 4" xfId="23220"/>
    <cellStyle name="Normal 6 2 3 12 5" xfId="28181"/>
    <cellStyle name="Normal 6 2 3 12 6" xfId="33039"/>
    <cellStyle name="Normal 6 2 3 12 7" xfId="37770"/>
    <cellStyle name="Normal 6 2 3 13" xfId="4879"/>
    <cellStyle name="Normal 6 2 3 13 2" xfId="5878"/>
    <cellStyle name="Normal 6 2 3 13 3" xfId="17978"/>
    <cellStyle name="Normal 6 2 3 13 4" xfId="23021"/>
    <cellStyle name="Normal 6 2 3 13 5" xfId="27982"/>
    <cellStyle name="Normal 6 2 3 13 6" xfId="32840"/>
    <cellStyle name="Normal 6 2 3 13 7" xfId="37571"/>
    <cellStyle name="Normal 6 2 3 14" xfId="4921"/>
    <cellStyle name="Normal 6 2 3 14 2" xfId="6298"/>
    <cellStyle name="Normal 6 2 3 14 3" xfId="18405"/>
    <cellStyle name="Normal 6 2 3 14 4" xfId="23448"/>
    <cellStyle name="Normal 6 2 3 14 5" xfId="28409"/>
    <cellStyle name="Normal 6 2 3 14 6" xfId="33267"/>
    <cellStyle name="Normal 6 2 3 14 7" xfId="37998"/>
    <cellStyle name="Normal 6 2 3 15" xfId="4869"/>
    <cellStyle name="Normal 6 2 3 15 2" xfId="6309"/>
    <cellStyle name="Normal 6 2 3 15 3" xfId="18417"/>
    <cellStyle name="Normal 6 2 3 15 4" xfId="23460"/>
    <cellStyle name="Normal 6 2 3 15 5" xfId="28421"/>
    <cellStyle name="Normal 6 2 3 15 6" xfId="33279"/>
    <cellStyle name="Normal 6 2 3 15 7" xfId="38010"/>
    <cellStyle name="Normal 6 2 3 16" xfId="5015"/>
    <cellStyle name="Normal 6 2 3 16 2" xfId="6290"/>
    <cellStyle name="Normal 6 2 3 16 3" xfId="18396"/>
    <cellStyle name="Normal 6 2 3 16 4" xfId="23439"/>
    <cellStyle name="Normal 6 2 3 16 5" xfId="28400"/>
    <cellStyle name="Normal 6 2 3 16 6" xfId="33258"/>
    <cellStyle name="Normal 6 2 3 16 7" xfId="37989"/>
    <cellStyle name="Normal 6 2 3 17" xfId="5104"/>
    <cellStyle name="Normal 6 2 3 17 2" xfId="5971"/>
    <cellStyle name="Normal 6 2 3 17 3" xfId="18073"/>
    <cellStyle name="Normal 6 2 3 17 4" xfId="23116"/>
    <cellStyle name="Normal 6 2 3 17 5" xfId="28077"/>
    <cellStyle name="Normal 6 2 3 17 6" xfId="32935"/>
    <cellStyle name="Normal 6 2 3 17 7" xfId="37666"/>
    <cellStyle name="Normal 6 2 3 18" xfId="5108"/>
    <cellStyle name="Normal 6 2 3 18 2" xfId="6422"/>
    <cellStyle name="Normal 6 2 3 18 3" xfId="18532"/>
    <cellStyle name="Normal 6 2 3 18 4" xfId="23575"/>
    <cellStyle name="Normal 6 2 3 18 5" xfId="28536"/>
    <cellStyle name="Normal 6 2 3 18 6" xfId="33394"/>
    <cellStyle name="Normal 6 2 3 18 7" xfId="38125"/>
    <cellStyle name="Normal 6 2 3 19" xfId="5092"/>
    <cellStyle name="Normal 6 2 3 19 2" xfId="6713"/>
    <cellStyle name="Normal 6 2 3 19 3" xfId="18834"/>
    <cellStyle name="Normal 6 2 3 19 4" xfId="23877"/>
    <cellStyle name="Normal 6 2 3 19 5" xfId="28838"/>
    <cellStyle name="Normal 6 2 3 19 6" xfId="33696"/>
    <cellStyle name="Normal 6 2 3 19 7" xfId="38427"/>
    <cellStyle name="Normal 6 2 3 2" xfId="2502"/>
    <cellStyle name="Normal 6 2 3 2 10" xfId="4699"/>
    <cellStyle name="Normal 6 2 3 2 10 2" xfId="6480"/>
    <cellStyle name="Normal 6 2 3 2 10 3" xfId="18590"/>
    <cellStyle name="Normal 6 2 3 2 10 4" xfId="23633"/>
    <cellStyle name="Normal 6 2 3 2 10 5" xfId="28594"/>
    <cellStyle name="Normal 6 2 3 2 10 6" xfId="33452"/>
    <cellStyle name="Normal 6 2 3 2 10 7" xfId="38183"/>
    <cellStyle name="Normal 6 2 3 2 11" xfId="4856"/>
    <cellStyle name="Normal 6 2 3 2 11 2" xfId="5844"/>
    <cellStyle name="Normal 6 2 3 2 11 3" xfId="17944"/>
    <cellStyle name="Normal 6 2 3 2 11 4" xfId="22987"/>
    <cellStyle name="Normal 6 2 3 2 11 5" xfId="27948"/>
    <cellStyle name="Normal 6 2 3 2 11 6" xfId="32806"/>
    <cellStyle name="Normal 6 2 3 2 11 7" xfId="37537"/>
    <cellStyle name="Normal 6 2 3 2 12" xfId="4773"/>
    <cellStyle name="Normal 6 2 3 2 12 2" xfId="5827"/>
    <cellStyle name="Normal 6 2 3 2 12 3" xfId="17926"/>
    <cellStyle name="Normal 6 2 3 2 12 4" xfId="22969"/>
    <cellStyle name="Normal 6 2 3 2 12 5" xfId="27930"/>
    <cellStyle name="Normal 6 2 3 2 12 6" xfId="32788"/>
    <cellStyle name="Normal 6 2 3 2 12 7" xfId="37519"/>
    <cellStyle name="Normal 6 2 3 2 13" xfId="4744"/>
    <cellStyle name="Normal 6 2 3 2 13 2" xfId="6490"/>
    <cellStyle name="Normal 6 2 3 2 13 3" xfId="18600"/>
    <cellStyle name="Normal 6 2 3 2 13 4" xfId="23643"/>
    <cellStyle name="Normal 6 2 3 2 13 5" xfId="28604"/>
    <cellStyle name="Normal 6 2 3 2 13 6" xfId="33462"/>
    <cellStyle name="Normal 6 2 3 2 13 7" xfId="38193"/>
    <cellStyle name="Normal 6 2 3 2 14" xfId="4766"/>
    <cellStyle name="Normal 6 2 3 2 14 2" xfId="6496"/>
    <cellStyle name="Normal 6 2 3 2 14 3" xfId="18614"/>
    <cellStyle name="Normal 6 2 3 2 14 4" xfId="23657"/>
    <cellStyle name="Normal 6 2 3 2 14 5" xfId="28618"/>
    <cellStyle name="Normal 6 2 3 2 14 6" xfId="33476"/>
    <cellStyle name="Normal 6 2 3 2 14 7" xfId="38207"/>
    <cellStyle name="Normal 6 2 3 2 15" xfId="5081"/>
    <cellStyle name="Normal 6 2 3 2 15 2" xfId="6512"/>
    <cellStyle name="Normal 6 2 3 2 15 3" xfId="18630"/>
    <cellStyle name="Normal 6 2 3 2 15 4" xfId="23673"/>
    <cellStyle name="Normal 6 2 3 2 15 5" xfId="28634"/>
    <cellStyle name="Normal 6 2 3 2 15 6" xfId="33492"/>
    <cellStyle name="Normal 6 2 3 2 15 7" xfId="38223"/>
    <cellStyle name="Normal 6 2 3 2 16" xfId="4991"/>
    <cellStyle name="Normal 6 2 3 2 16 2" xfId="6527"/>
    <cellStyle name="Normal 6 2 3 2 16 3" xfId="18645"/>
    <cellStyle name="Normal 6 2 3 2 16 4" xfId="23688"/>
    <cellStyle name="Normal 6 2 3 2 16 5" xfId="28649"/>
    <cellStyle name="Normal 6 2 3 2 16 6" xfId="33507"/>
    <cellStyle name="Normal 6 2 3 2 16 7" xfId="38238"/>
    <cellStyle name="Normal 6 2 3 2 17" xfId="5079"/>
    <cellStyle name="Normal 6 2 3 2 17 2" xfId="6540"/>
    <cellStyle name="Normal 6 2 3 2 17 3" xfId="18658"/>
    <cellStyle name="Normal 6 2 3 2 17 4" xfId="23701"/>
    <cellStyle name="Normal 6 2 3 2 17 5" xfId="28662"/>
    <cellStyle name="Normal 6 2 3 2 17 6" xfId="33520"/>
    <cellStyle name="Normal 6 2 3 2 17 7" xfId="38251"/>
    <cellStyle name="Normal 6 2 3 2 18" xfId="5048"/>
    <cellStyle name="Normal 6 2 3 2 18 2" xfId="6775"/>
    <cellStyle name="Normal 6 2 3 2 18 3" xfId="18896"/>
    <cellStyle name="Normal 6 2 3 2 18 4" xfId="23939"/>
    <cellStyle name="Normal 6 2 3 2 18 5" xfId="28900"/>
    <cellStyle name="Normal 6 2 3 2 18 6" xfId="33758"/>
    <cellStyle name="Normal 6 2 3 2 18 7" xfId="38489"/>
    <cellStyle name="Normal 6 2 3 2 19" xfId="5435"/>
    <cellStyle name="Normal 6 2 3 2 19 2" xfId="6692"/>
    <cellStyle name="Normal 6 2 3 2 19 3" xfId="18813"/>
    <cellStyle name="Normal 6 2 3 2 19 4" xfId="23856"/>
    <cellStyle name="Normal 6 2 3 2 19 5" xfId="28817"/>
    <cellStyle name="Normal 6 2 3 2 19 6" xfId="33675"/>
    <cellStyle name="Normal 6 2 3 2 19 7" xfId="38406"/>
    <cellStyle name="Normal 6 2 3 2 2" xfId="4300"/>
    <cellStyle name="Normal 6 2 3 2 2 2" xfId="6214"/>
    <cellStyle name="Normal 6 2 3 2 2 3" xfId="18318"/>
    <cellStyle name="Normal 6 2 3 2 2 4" xfId="23361"/>
    <cellStyle name="Normal 6 2 3 2 2 5" xfId="28322"/>
    <cellStyle name="Normal 6 2 3 2 2 6" xfId="33180"/>
    <cellStyle name="Normal 6 2 3 2 2 7" xfId="37911"/>
    <cellStyle name="Normal 6 2 3 2 20" xfId="5256"/>
    <cellStyle name="Normal 6 2 3 2 20 2" xfId="6667"/>
    <cellStyle name="Normal 6 2 3 2 20 3" xfId="18787"/>
    <cellStyle name="Normal 6 2 3 2 20 4" xfId="23830"/>
    <cellStyle name="Normal 6 2 3 2 20 5" xfId="28791"/>
    <cellStyle name="Normal 6 2 3 2 20 6" xfId="33649"/>
    <cellStyle name="Normal 6 2 3 2 20 7" xfId="38380"/>
    <cellStyle name="Normal 6 2 3 2 21" xfId="5192"/>
    <cellStyle name="Normal 6 2 3 2 21 2" xfId="6758"/>
    <cellStyle name="Normal 6 2 3 2 21 3" xfId="18879"/>
    <cellStyle name="Normal 6 2 3 2 21 4" xfId="23922"/>
    <cellStyle name="Normal 6 2 3 2 21 5" xfId="28883"/>
    <cellStyle name="Normal 6 2 3 2 21 6" xfId="33741"/>
    <cellStyle name="Normal 6 2 3 2 21 7" xfId="38472"/>
    <cellStyle name="Normal 6 2 3 2 22" xfId="5247"/>
    <cellStyle name="Normal 6 2 3 2 22 2" xfId="7179"/>
    <cellStyle name="Normal 6 2 3 2 22 3" xfId="19334"/>
    <cellStyle name="Normal 6 2 3 2 22 4" xfId="24377"/>
    <cellStyle name="Normal 6 2 3 2 22 5" xfId="29338"/>
    <cellStyle name="Normal 6 2 3 2 22 6" xfId="34196"/>
    <cellStyle name="Normal 6 2 3 2 22 7" xfId="38927"/>
    <cellStyle name="Normal 6 2 3 2 23" xfId="5214"/>
    <cellStyle name="Normal 6 2 3 2 23 2" xfId="6967"/>
    <cellStyle name="Normal 6 2 3 2 23 3" xfId="19099"/>
    <cellStyle name="Normal 6 2 3 2 23 4" xfId="24142"/>
    <cellStyle name="Normal 6 2 3 2 23 5" xfId="29103"/>
    <cellStyle name="Normal 6 2 3 2 23 6" xfId="33961"/>
    <cellStyle name="Normal 6 2 3 2 23 7" xfId="38692"/>
    <cellStyle name="Normal 6 2 3 2 24" xfId="5488"/>
    <cellStyle name="Normal 6 2 3 2 24 2" xfId="6900"/>
    <cellStyle name="Normal 6 2 3 2 24 3" xfId="19024"/>
    <cellStyle name="Normal 6 2 3 2 24 4" xfId="24067"/>
    <cellStyle name="Normal 6 2 3 2 24 5" xfId="29028"/>
    <cellStyle name="Normal 6 2 3 2 24 6" xfId="33886"/>
    <cellStyle name="Normal 6 2 3 2 24 7" xfId="38617"/>
    <cellStyle name="Normal 6 2 3 2 25" xfId="5188"/>
    <cellStyle name="Normal 6 2 3 2 25 2" xfId="7157"/>
    <cellStyle name="Normal 6 2 3 2 25 3" xfId="19312"/>
    <cellStyle name="Normal 6 2 3 2 25 4" xfId="24355"/>
    <cellStyle name="Normal 6 2 3 2 25 5" xfId="29316"/>
    <cellStyle name="Normal 6 2 3 2 25 6" xfId="34174"/>
    <cellStyle name="Normal 6 2 3 2 25 7" xfId="38905"/>
    <cellStyle name="Normal 6 2 3 2 26" xfId="5294"/>
    <cellStyle name="Normal 6 2 3 2 26 2" xfId="7301"/>
    <cellStyle name="Normal 6 2 3 2 26 3" xfId="19470"/>
    <cellStyle name="Normal 6 2 3 2 26 4" xfId="24513"/>
    <cellStyle name="Normal 6 2 3 2 26 5" xfId="29474"/>
    <cellStyle name="Normal 6 2 3 2 26 6" xfId="34332"/>
    <cellStyle name="Normal 6 2 3 2 26 7" xfId="39063"/>
    <cellStyle name="Normal 6 2 3 2 27" xfId="5572"/>
    <cellStyle name="Normal 6 2 3 2 27 2" xfId="7142"/>
    <cellStyle name="Normal 6 2 3 2 27 3" xfId="19294"/>
    <cellStyle name="Normal 6 2 3 2 27 4" xfId="24337"/>
    <cellStyle name="Normal 6 2 3 2 27 5" xfId="29298"/>
    <cellStyle name="Normal 6 2 3 2 27 6" xfId="34156"/>
    <cellStyle name="Normal 6 2 3 2 27 7" xfId="38887"/>
    <cellStyle name="Normal 6 2 3 2 28" xfId="5785"/>
    <cellStyle name="Normal 6 2 3 2 28 2" xfId="14333"/>
    <cellStyle name="Normal 6 2 3 2 28 3" xfId="19225"/>
    <cellStyle name="Normal 6 2 3 2 28 4" xfId="24268"/>
    <cellStyle name="Normal 6 2 3 2 28 5" xfId="29229"/>
    <cellStyle name="Normal 6 2 3 2 28 6" xfId="34087"/>
    <cellStyle name="Normal 6 2 3 2 28 7" xfId="38818"/>
    <cellStyle name="Normal 6 2 3 2 29" xfId="6996"/>
    <cellStyle name="Normal 6 2 3 2 29 2" xfId="14292"/>
    <cellStyle name="Normal 6 2 3 2 29 3" xfId="19133"/>
    <cellStyle name="Normal 6 2 3 2 29 4" xfId="24176"/>
    <cellStyle name="Normal 6 2 3 2 29 5" xfId="29137"/>
    <cellStyle name="Normal 6 2 3 2 29 6" xfId="33995"/>
    <cellStyle name="Normal 6 2 3 2 29 7" xfId="38726"/>
    <cellStyle name="Normal 6 2 3 2 3" xfId="4234"/>
    <cellStyle name="Normal 6 2 3 2 3 2" xfId="5917"/>
    <cellStyle name="Normal 6 2 3 2 3 3" xfId="18019"/>
    <cellStyle name="Normal 6 2 3 2 3 4" xfId="23062"/>
    <cellStyle name="Normal 6 2 3 2 3 5" xfId="28023"/>
    <cellStyle name="Normal 6 2 3 2 3 6" xfId="32881"/>
    <cellStyle name="Normal 6 2 3 2 3 7" xfId="37612"/>
    <cellStyle name="Normal 6 2 3 2 30" xfId="7357"/>
    <cellStyle name="Normal 6 2 3 2 30 2" xfId="14474"/>
    <cellStyle name="Normal 6 2 3 2 30 3" xfId="19530"/>
    <cellStyle name="Normal 6 2 3 2 30 4" xfId="24573"/>
    <cellStyle name="Normal 6 2 3 2 30 5" xfId="29534"/>
    <cellStyle name="Normal 6 2 3 2 30 6" xfId="34392"/>
    <cellStyle name="Normal 6 2 3 2 30 7" xfId="39123"/>
    <cellStyle name="Normal 6 2 3 2 31" xfId="6912"/>
    <cellStyle name="Normal 6 2 3 2 31 2" xfId="14239"/>
    <cellStyle name="Normal 6 2 3 2 31 3" xfId="19039"/>
    <cellStyle name="Normal 6 2 3 2 31 4" xfId="24082"/>
    <cellStyle name="Normal 6 2 3 2 31 5" xfId="29043"/>
    <cellStyle name="Normal 6 2 3 2 31 6" xfId="33901"/>
    <cellStyle name="Normal 6 2 3 2 31 7" xfId="38632"/>
    <cellStyle name="Normal 6 2 3 2 32" xfId="6901"/>
    <cellStyle name="Normal 6 2 3 2 32 2" xfId="14233"/>
    <cellStyle name="Normal 6 2 3 2 32 3" xfId="19025"/>
    <cellStyle name="Normal 6 2 3 2 32 4" xfId="24068"/>
    <cellStyle name="Normal 6 2 3 2 32 5" xfId="29029"/>
    <cellStyle name="Normal 6 2 3 2 32 6" xfId="33887"/>
    <cellStyle name="Normal 6 2 3 2 32 7" xfId="38618"/>
    <cellStyle name="Normal 6 2 3 2 33" xfId="7367"/>
    <cellStyle name="Normal 6 2 3 2 33 2" xfId="14479"/>
    <cellStyle name="Normal 6 2 3 2 33 3" xfId="19540"/>
    <cellStyle name="Normal 6 2 3 2 33 4" xfId="24583"/>
    <cellStyle name="Normal 6 2 3 2 33 5" xfId="29544"/>
    <cellStyle name="Normal 6 2 3 2 33 6" xfId="34402"/>
    <cellStyle name="Normal 6 2 3 2 33 7" xfId="39133"/>
    <cellStyle name="Normal 6 2 3 2 34" xfId="7840"/>
    <cellStyle name="Normal 6 2 3 2 34 2" xfId="14920"/>
    <cellStyle name="Normal 6 2 3 2 34 3" xfId="20037"/>
    <cellStyle name="Normal 6 2 3 2 34 4" xfId="25080"/>
    <cellStyle name="Normal 6 2 3 2 34 5" xfId="30041"/>
    <cellStyle name="Normal 6 2 3 2 34 6" xfId="34899"/>
    <cellStyle name="Normal 6 2 3 2 34 7" xfId="39630"/>
    <cellStyle name="Normal 6 2 3 2 35" xfId="7574"/>
    <cellStyle name="Normal 6 2 3 2 35 2" xfId="14654"/>
    <cellStyle name="Normal 6 2 3 2 35 3" xfId="19771"/>
    <cellStyle name="Normal 6 2 3 2 35 4" xfId="24814"/>
    <cellStyle name="Normal 6 2 3 2 35 5" xfId="29775"/>
    <cellStyle name="Normal 6 2 3 2 35 6" xfId="34633"/>
    <cellStyle name="Normal 6 2 3 2 35 7" xfId="39364"/>
    <cellStyle name="Normal 6 2 3 2 36" xfId="7492"/>
    <cellStyle name="Normal 6 2 3 2 36 2" xfId="14568"/>
    <cellStyle name="Normal 6 2 3 2 36 3" xfId="19685"/>
    <cellStyle name="Normal 6 2 3 2 36 4" xfId="24728"/>
    <cellStyle name="Normal 6 2 3 2 36 5" xfId="29689"/>
    <cellStyle name="Normal 6 2 3 2 36 6" xfId="34547"/>
    <cellStyle name="Normal 6 2 3 2 36 7" xfId="39278"/>
    <cellStyle name="Normal 6 2 3 2 37" xfId="7818"/>
    <cellStyle name="Normal 6 2 3 2 37 2" xfId="14898"/>
    <cellStyle name="Normal 6 2 3 2 37 3" xfId="20015"/>
    <cellStyle name="Normal 6 2 3 2 37 4" xfId="25058"/>
    <cellStyle name="Normal 6 2 3 2 37 5" xfId="30019"/>
    <cellStyle name="Normal 6 2 3 2 37 6" xfId="34877"/>
    <cellStyle name="Normal 6 2 3 2 37 7" xfId="39608"/>
    <cellStyle name="Normal 6 2 3 2 38" xfId="8004"/>
    <cellStyle name="Normal 6 2 3 2 38 2" xfId="15084"/>
    <cellStyle name="Normal 6 2 3 2 38 3" xfId="20201"/>
    <cellStyle name="Normal 6 2 3 2 38 4" xfId="25244"/>
    <cellStyle name="Normal 6 2 3 2 38 5" xfId="30205"/>
    <cellStyle name="Normal 6 2 3 2 38 6" xfId="35063"/>
    <cellStyle name="Normal 6 2 3 2 38 7" xfId="39794"/>
    <cellStyle name="Normal 6 2 3 2 39" xfId="7797"/>
    <cellStyle name="Normal 6 2 3 2 39 2" xfId="14877"/>
    <cellStyle name="Normal 6 2 3 2 39 3" xfId="19994"/>
    <cellStyle name="Normal 6 2 3 2 39 4" xfId="25037"/>
    <cellStyle name="Normal 6 2 3 2 39 5" xfId="29998"/>
    <cellStyle name="Normal 6 2 3 2 39 6" xfId="34856"/>
    <cellStyle name="Normal 6 2 3 2 39 7" xfId="39587"/>
    <cellStyle name="Normal 6 2 3 2 4" xfId="4270"/>
    <cellStyle name="Normal 6 2 3 2 4 2" xfId="5826"/>
    <cellStyle name="Normal 6 2 3 2 4 3" xfId="17925"/>
    <cellStyle name="Normal 6 2 3 2 4 4" xfId="22968"/>
    <cellStyle name="Normal 6 2 3 2 4 5" xfId="27929"/>
    <cellStyle name="Normal 6 2 3 2 4 6" xfId="32787"/>
    <cellStyle name="Normal 6 2 3 2 4 7" xfId="37518"/>
    <cellStyle name="Normal 6 2 3 2 40" xfId="7722"/>
    <cellStyle name="Normal 6 2 3 2 40 2" xfId="14802"/>
    <cellStyle name="Normal 6 2 3 2 40 3" xfId="19919"/>
    <cellStyle name="Normal 6 2 3 2 40 4" xfId="24962"/>
    <cellStyle name="Normal 6 2 3 2 40 5" xfId="29923"/>
    <cellStyle name="Normal 6 2 3 2 40 6" xfId="34781"/>
    <cellStyle name="Normal 6 2 3 2 40 7" xfId="39512"/>
    <cellStyle name="Normal 6 2 3 2 41" xfId="7618"/>
    <cellStyle name="Normal 6 2 3 2 41 2" xfId="14698"/>
    <cellStyle name="Normal 6 2 3 2 41 3" xfId="19815"/>
    <cellStyle name="Normal 6 2 3 2 41 4" xfId="24858"/>
    <cellStyle name="Normal 6 2 3 2 41 5" xfId="29819"/>
    <cellStyle name="Normal 6 2 3 2 41 6" xfId="34677"/>
    <cellStyle name="Normal 6 2 3 2 41 7" xfId="39408"/>
    <cellStyle name="Normal 6 2 3 2 42" xfId="8079"/>
    <cellStyle name="Normal 6 2 3 2 42 2" xfId="15159"/>
    <cellStyle name="Normal 6 2 3 2 42 3" xfId="20276"/>
    <cellStyle name="Normal 6 2 3 2 42 4" xfId="25319"/>
    <cellStyle name="Normal 6 2 3 2 42 5" xfId="30280"/>
    <cellStyle name="Normal 6 2 3 2 42 6" xfId="35138"/>
    <cellStyle name="Normal 6 2 3 2 42 7" xfId="39869"/>
    <cellStyle name="Normal 6 2 3 2 43" xfId="7507"/>
    <cellStyle name="Normal 6 2 3 2 43 2" xfId="14584"/>
    <cellStyle name="Normal 6 2 3 2 43 3" xfId="19701"/>
    <cellStyle name="Normal 6 2 3 2 43 4" xfId="24744"/>
    <cellStyle name="Normal 6 2 3 2 43 5" xfId="29705"/>
    <cellStyle name="Normal 6 2 3 2 43 6" xfId="34563"/>
    <cellStyle name="Normal 6 2 3 2 43 7" xfId="39294"/>
    <cellStyle name="Normal 6 2 3 2 44" xfId="7493"/>
    <cellStyle name="Normal 6 2 3 2 44 2" xfId="14569"/>
    <cellStyle name="Normal 6 2 3 2 44 3" xfId="19686"/>
    <cellStyle name="Normal 6 2 3 2 44 4" xfId="24729"/>
    <cellStyle name="Normal 6 2 3 2 44 5" xfId="29690"/>
    <cellStyle name="Normal 6 2 3 2 44 6" xfId="34548"/>
    <cellStyle name="Normal 6 2 3 2 44 7" xfId="39279"/>
    <cellStyle name="Normal 6 2 3 2 45" xfId="8089"/>
    <cellStyle name="Normal 6 2 3 2 45 2" xfId="15169"/>
    <cellStyle name="Normal 6 2 3 2 45 3" xfId="20286"/>
    <cellStyle name="Normal 6 2 3 2 45 4" xfId="25329"/>
    <cellStyle name="Normal 6 2 3 2 45 5" xfId="30290"/>
    <cellStyle name="Normal 6 2 3 2 45 6" xfId="35148"/>
    <cellStyle name="Normal 6 2 3 2 45 7" xfId="39879"/>
    <cellStyle name="Normal 6 2 3 2 46" xfId="8103"/>
    <cellStyle name="Normal 6 2 3 2 46 2" xfId="15183"/>
    <cellStyle name="Normal 6 2 3 2 46 3" xfId="20300"/>
    <cellStyle name="Normal 6 2 3 2 46 4" xfId="25343"/>
    <cellStyle name="Normal 6 2 3 2 46 5" xfId="30304"/>
    <cellStyle name="Normal 6 2 3 2 46 6" xfId="35162"/>
    <cellStyle name="Normal 6 2 3 2 46 7" xfId="39893"/>
    <cellStyle name="Normal 6 2 3 2 47" xfId="8116"/>
    <cellStyle name="Normal 6 2 3 2 47 2" xfId="15196"/>
    <cellStyle name="Normal 6 2 3 2 47 3" xfId="20313"/>
    <cellStyle name="Normal 6 2 3 2 47 4" xfId="25356"/>
    <cellStyle name="Normal 6 2 3 2 47 5" xfId="30317"/>
    <cellStyle name="Normal 6 2 3 2 47 6" xfId="35175"/>
    <cellStyle name="Normal 6 2 3 2 47 7" xfId="39906"/>
    <cellStyle name="Normal 6 2 3 2 48" xfId="8634"/>
    <cellStyle name="Normal 6 2 3 2 48 2" xfId="15715"/>
    <cellStyle name="Normal 6 2 3 2 48 3" xfId="20832"/>
    <cellStyle name="Normal 6 2 3 2 48 4" xfId="25875"/>
    <cellStyle name="Normal 6 2 3 2 48 5" xfId="30836"/>
    <cellStyle name="Normal 6 2 3 2 48 6" xfId="35694"/>
    <cellStyle name="Normal 6 2 3 2 48 7" xfId="40425"/>
    <cellStyle name="Normal 6 2 3 2 49" xfId="8357"/>
    <cellStyle name="Normal 6 2 3 2 49 2" xfId="15438"/>
    <cellStyle name="Normal 6 2 3 2 49 3" xfId="20555"/>
    <cellStyle name="Normal 6 2 3 2 49 4" xfId="25598"/>
    <cellStyle name="Normal 6 2 3 2 49 5" xfId="30559"/>
    <cellStyle name="Normal 6 2 3 2 49 6" xfId="35417"/>
    <cellStyle name="Normal 6 2 3 2 49 7" xfId="40148"/>
    <cellStyle name="Normal 6 2 3 2 5" xfId="4417"/>
    <cellStyle name="Normal 6 2 3 2 5 2" xfId="6189"/>
    <cellStyle name="Normal 6 2 3 2 5 3" xfId="18293"/>
    <cellStyle name="Normal 6 2 3 2 5 4" xfId="23336"/>
    <cellStyle name="Normal 6 2 3 2 5 5" xfId="28297"/>
    <cellStyle name="Normal 6 2 3 2 5 6" xfId="33155"/>
    <cellStyle name="Normal 6 2 3 2 5 7" xfId="37886"/>
    <cellStyle name="Normal 6 2 3 2 50" xfId="8266"/>
    <cellStyle name="Normal 6 2 3 2 50 2" xfId="15347"/>
    <cellStyle name="Normal 6 2 3 2 50 3" xfId="20464"/>
    <cellStyle name="Normal 6 2 3 2 50 4" xfId="25507"/>
    <cellStyle name="Normal 6 2 3 2 50 5" xfId="30468"/>
    <cellStyle name="Normal 6 2 3 2 50 6" xfId="35326"/>
    <cellStyle name="Normal 6 2 3 2 50 7" xfId="40057"/>
    <cellStyle name="Normal 6 2 3 2 51" xfId="8607"/>
    <cellStyle name="Normal 6 2 3 2 51 2" xfId="15688"/>
    <cellStyle name="Normal 6 2 3 2 51 3" xfId="20805"/>
    <cellStyle name="Normal 6 2 3 2 51 4" xfId="25848"/>
    <cellStyle name="Normal 6 2 3 2 51 5" xfId="30809"/>
    <cellStyle name="Normal 6 2 3 2 51 6" xfId="35667"/>
    <cellStyle name="Normal 6 2 3 2 51 7" xfId="40398"/>
    <cellStyle name="Normal 6 2 3 2 52" xfId="8802"/>
    <cellStyle name="Normal 6 2 3 2 52 2" xfId="15883"/>
    <cellStyle name="Normal 6 2 3 2 52 3" xfId="21000"/>
    <cellStyle name="Normal 6 2 3 2 52 4" xfId="26043"/>
    <cellStyle name="Normal 6 2 3 2 52 5" xfId="31004"/>
    <cellStyle name="Normal 6 2 3 2 52 6" xfId="35862"/>
    <cellStyle name="Normal 6 2 3 2 52 7" xfId="40593"/>
    <cellStyle name="Normal 6 2 3 2 53" xfId="8580"/>
    <cellStyle name="Normal 6 2 3 2 53 2" xfId="15661"/>
    <cellStyle name="Normal 6 2 3 2 53 3" xfId="20778"/>
    <cellStyle name="Normal 6 2 3 2 53 4" xfId="25821"/>
    <cellStyle name="Normal 6 2 3 2 53 5" xfId="30782"/>
    <cellStyle name="Normal 6 2 3 2 53 6" xfId="35640"/>
    <cellStyle name="Normal 6 2 3 2 53 7" xfId="40371"/>
    <cellStyle name="Normal 6 2 3 2 54" xfId="8503"/>
    <cellStyle name="Normal 6 2 3 2 54 2" xfId="15584"/>
    <cellStyle name="Normal 6 2 3 2 54 3" xfId="20701"/>
    <cellStyle name="Normal 6 2 3 2 54 4" xfId="25744"/>
    <cellStyle name="Normal 6 2 3 2 54 5" xfId="30705"/>
    <cellStyle name="Normal 6 2 3 2 54 6" xfId="35563"/>
    <cellStyle name="Normal 6 2 3 2 54 7" xfId="40294"/>
    <cellStyle name="Normal 6 2 3 2 55" xfId="8856"/>
    <cellStyle name="Normal 6 2 3 2 55 2" xfId="15937"/>
    <cellStyle name="Normal 6 2 3 2 55 3" xfId="21054"/>
    <cellStyle name="Normal 6 2 3 2 55 4" xfId="26097"/>
    <cellStyle name="Normal 6 2 3 2 55 5" xfId="31058"/>
    <cellStyle name="Normal 6 2 3 2 55 6" xfId="35916"/>
    <cellStyle name="Normal 6 2 3 2 55 7" xfId="40647"/>
    <cellStyle name="Normal 6 2 3 2 56" xfId="8535"/>
    <cellStyle name="Normal 6 2 3 2 56 2" xfId="15616"/>
    <cellStyle name="Normal 6 2 3 2 56 3" xfId="20733"/>
    <cellStyle name="Normal 6 2 3 2 56 4" xfId="25776"/>
    <cellStyle name="Normal 6 2 3 2 56 5" xfId="30737"/>
    <cellStyle name="Normal 6 2 3 2 56 6" xfId="35595"/>
    <cellStyle name="Normal 6 2 3 2 56 7" xfId="40326"/>
    <cellStyle name="Normal 6 2 3 2 57" xfId="8524"/>
    <cellStyle name="Normal 6 2 3 2 57 2" xfId="15605"/>
    <cellStyle name="Normal 6 2 3 2 57 3" xfId="20722"/>
    <cellStyle name="Normal 6 2 3 2 57 4" xfId="25765"/>
    <cellStyle name="Normal 6 2 3 2 57 5" xfId="30726"/>
    <cellStyle name="Normal 6 2 3 2 57 6" xfId="35584"/>
    <cellStyle name="Normal 6 2 3 2 57 7" xfId="40315"/>
    <cellStyle name="Normal 6 2 3 2 58" xfId="8431"/>
    <cellStyle name="Normal 6 2 3 2 58 2" xfId="15512"/>
    <cellStyle name="Normal 6 2 3 2 58 3" xfId="20629"/>
    <cellStyle name="Normal 6 2 3 2 58 4" xfId="25672"/>
    <cellStyle name="Normal 6 2 3 2 58 5" xfId="30633"/>
    <cellStyle name="Normal 6 2 3 2 58 6" xfId="35491"/>
    <cellStyle name="Normal 6 2 3 2 58 7" xfId="40222"/>
    <cellStyle name="Normal 6 2 3 2 59" xfId="8300"/>
    <cellStyle name="Normal 6 2 3 2 59 2" xfId="15381"/>
    <cellStyle name="Normal 6 2 3 2 59 3" xfId="20498"/>
    <cellStyle name="Normal 6 2 3 2 59 4" xfId="25541"/>
    <cellStyle name="Normal 6 2 3 2 59 5" xfId="30502"/>
    <cellStyle name="Normal 6 2 3 2 59 6" xfId="35360"/>
    <cellStyle name="Normal 6 2 3 2 59 7" xfId="40091"/>
    <cellStyle name="Normal 6 2 3 2 6" xfId="4473"/>
    <cellStyle name="Normal 6 2 3 2 6 2" xfId="6395"/>
    <cellStyle name="Normal 6 2 3 2 6 3" xfId="18505"/>
    <cellStyle name="Normal 6 2 3 2 6 4" xfId="23548"/>
    <cellStyle name="Normal 6 2 3 2 6 5" xfId="28509"/>
    <cellStyle name="Normal 6 2 3 2 6 6" xfId="33367"/>
    <cellStyle name="Normal 6 2 3 2 6 7" xfId="38098"/>
    <cellStyle name="Normal 6 2 3 2 60" xfId="8887"/>
    <cellStyle name="Normal 6 2 3 2 60 2" xfId="15968"/>
    <cellStyle name="Normal 6 2 3 2 60 3" xfId="21085"/>
    <cellStyle name="Normal 6 2 3 2 60 4" xfId="26128"/>
    <cellStyle name="Normal 6 2 3 2 60 5" xfId="31089"/>
    <cellStyle name="Normal 6 2 3 2 60 6" xfId="35947"/>
    <cellStyle name="Normal 6 2 3 2 60 7" xfId="40678"/>
    <cellStyle name="Normal 6 2 3 2 61" xfId="8277"/>
    <cellStyle name="Normal 6 2 3 2 61 2" xfId="15358"/>
    <cellStyle name="Normal 6 2 3 2 61 3" xfId="20475"/>
    <cellStyle name="Normal 6 2 3 2 61 4" xfId="25518"/>
    <cellStyle name="Normal 6 2 3 2 61 5" xfId="30479"/>
    <cellStyle name="Normal 6 2 3 2 61 6" xfId="35337"/>
    <cellStyle name="Normal 6 2 3 2 61 7" xfId="40068"/>
    <cellStyle name="Normal 6 2 3 2 62" xfId="8437"/>
    <cellStyle name="Normal 6 2 3 2 62 2" xfId="15518"/>
    <cellStyle name="Normal 6 2 3 2 62 3" xfId="20635"/>
    <cellStyle name="Normal 6 2 3 2 62 4" xfId="25678"/>
    <cellStyle name="Normal 6 2 3 2 62 5" xfId="30639"/>
    <cellStyle name="Normal 6 2 3 2 62 6" xfId="35497"/>
    <cellStyle name="Normal 6 2 3 2 62 7" xfId="40228"/>
    <cellStyle name="Normal 6 2 3 2 63" xfId="9394"/>
    <cellStyle name="Normal 6 2 3 2 63 2" xfId="16475"/>
    <cellStyle name="Normal 6 2 3 2 63 3" xfId="21592"/>
    <cellStyle name="Normal 6 2 3 2 63 4" xfId="26635"/>
    <cellStyle name="Normal 6 2 3 2 63 5" xfId="31596"/>
    <cellStyle name="Normal 6 2 3 2 63 6" xfId="36454"/>
    <cellStyle name="Normal 6 2 3 2 63 7" xfId="41185"/>
    <cellStyle name="Normal 6 2 3 2 64" xfId="9159"/>
    <cellStyle name="Normal 6 2 3 2 64 2" xfId="16240"/>
    <cellStyle name="Normal 6 2 3 2 64 3" xfId="21357"/>
    <cellStyle name="Normal 6 2 3 2 64 4" xfId="26400"/>
    <cellStyle name="Normal 6 2 3 2 64 5" xfId="31361"/>
    <cellStyle name="Normal 6 2 3 2 64 6" xfId="36219"/>
    <cellStyle name="Normal 6 2 3 2 64 7" xfId="40950"/>
    <cellStyle name="Normal 6 2 3 2 65" xfId="9084"/>
    <cellStyle name="Normal 6 2 3 2 65 2" xfId="16165"/>
    <cellStyle name="Normal 6 2 3 2 65 3" xfId="21282"/>
    <cellStyle name="Normal 6 2 3 2 65 4" xfId="26325"/>
    <cellStyle name="Normal 6 2 3 2 65 5" xfId="31286"/>
    <cellStyle name="Normal 6 2 3 2 65 6" xfId="36144"/>
    <cellStyle name="Normal 6 2 3 2 65 7" xfId="40875"/>
    <cellStyle name="Normal 6 2 3 2 66" xfId="9372"/>
    <cellStyle name="Normal 6 2 3 2 66 2" xfId="16453"/>
    <cellStyle name="Normal 6 2 3 2 66 3" xfId="21570"/>
    <cellStyle name="Normal 6 2 3 2 66 4" xfId="26613"/>
    <cellStyle name="Normal 6 2 3 2 66 5" xfId="31574"/>
    <cellStyle name="Normal 6 2 3 2 66 6" xfId="36432"/>
    <cellStyle name="Normal 6 2 3 2 66 7" xfId="41163"/>
    <cellStyle name="Normal 6 2 3 2 67" xfId="9530"/>
    <cellStyle name="Normal 6 2 3 2 67 2" xfId="16611"/>
    <cellStyle name="Normal 6 2 3 2 67 3" xfId="21728"/>
    <cellStyle name="Normal 6 2 3 2 67 4" xfId="26771"/>
    <cellStyle name="Normal 6 2 3 2 67 5" xfId="31732"/>
    <cellStyle name="Normal 6 2 3 2 67 6" xfId="36590"/>
    <cellStyle name="Normal 6 2 3 2 67 7" xfId="41321"/>
    <cellStyle name="Normal 6 2 3 2 68" xfId="9354"/>
    <cellStyle name="Normal 6 2 3 2 68 2" xfId="16435"/>
    <cellStyle name="Normal 6 2 3 2 68 3" xfId="21552"/>
    <cellStyle name="Normal 6 2 3 2 68 4" xfId="26595"/>
    <cellStyle name="Normal 6 2 3 2 68 5" xfId="31556"/>
    <cellStyle name="Normal 6 2 3 2 68 6" xfId="36414"/>
    <cellStyle name="Normal 6 2 3 2 68 7" xfId="41145"/>
    <cellStyle name="Normal 6 2 3 2 69" xfId="9285"/>
    <cellStyle name="Normal 6 2 3 2 69 2" xfId="16366"/>
    <cellStyle name="Normal 6 2 3 2 69 3" xfId="21483"/>
    <cellStyle name="Normal 6 2 3 2 69 4" xfId="26526"/>
    <cellStyle name="Normal 6 2 3 2 69 5" xfId="31487"/>
    <cellStyle name="Normal 6 2 3 2 69 6" xfId="36345"/>
    <cellStyle name="Normal 6 2 3 2 69 7" xfId="41076"/>
    <cellStyle name="Normal 6 2 3 2 7" xfId="4582"/>
    <cellStyle name="Normal 6 2 3 2 7 2" xfId="6167"/>
    <cellStyle name="Normal 6 2 3 2 7 3" xfId="18271"/>
    <cellStyle name="Normal 6 2 3 2 7 4" xfId="23314"/>
    <cellStyle name="Normal 6 2 3 2 7 5" xfId="28275"/>
    <cellStyle name="Normal 6 2 3 2 7 6" xfId="33133"/>
    <cellStyle name="Normal 6 2 3 2 7 7" xfId="37864"/>
    <cellStyle name="Normal 6 2 3 2 70" xfId="9193"/>
    <cellStyle name="Normal 6 2 3 2 70 2" xfId="16274"/>
    <cellStyle name="Normal 6 2 3 2 70 3" xfId="21391"/>
    <cellStyle name="Normal 6 2 3 2 70 4" xfId="26434"/>
    <cellStyle name="Normal 6 2 3 2 70 5" xfId="31395"/>
    <cellStyle name="Normal 6 2 3 2 70 6" xfId="36253"/>
    <cellStyle name="Normal 6 2 3 2 70 7" xfId="40984"/>
    <cellStyle name="Normal 6 2 3 2 71" xfId="9590"/>
    <cellStyle name="Normal 6 2 3 2 71 2" xfId="16671"/>
    <cellStyle name="Normal 6 2 3 2 71 3" xfId="21788"/>
    <cellStyle name="Normal 6 2 3 2 71 4" xfId="26831"/>
    <cellStyle name="Normal 6 2 3 2 71 5" xfId="31792"/>
    <cellStyle name="Normal 6 2 3 2 71 6" xfId="36650"/>
    <cellStyle name="Normal 6 2 3 2 71 7" xfId="41381"/>
    <cellStyle name="Normal 6 2 3 2 72" xfId="9099"/>
    <cellStyle name="Normal 6 2 3 2 72 2" xfId="16180"/>
    <cellStyle name="Normal 6 2 3 2 72 3" xfId="21297"/>
    <cellStyle name="Normal 6 2 3 2 72 4" xfId="26340"/>
    <cellStyle name="Normal 6 2 3 2 72 5" xfId="31301"/>
    <cellStyle name="Normal 6 2 3 2 72 6" xfId="36159"/>
    <cellStyle name="Normal 6 2 3 2 72 7" xfId="40890"/>
    <cellStyle name="Normal 6 2 3 2 73" xfId="9085"/>
    <cellStyle name="Normal 6 2 3 2 73 2" xfId="16166"/>
    <cellStyle name="Normal 6 2 3 2 73 3" xfId="21283"/>
    <cellStyle name="Normal 6 2 3 2 73 4" xfId="26326"/>
    <cellStyle name="Normal 6 2 3 2 73 5" xfId="31287"/>
    <cellStyle name="Normal 6 2 3 2 73 6" xfId="36145"/>
    <cellStyle name="Normal 6 2 3 2 73 7" xfId="40876"/>
    <cellStyle name="Normal 6 2 3 2 74" xfId="9600"/>
    <cellStyle name="Normal 6 2 3 2 74 2" xfId="16681"/>
    <cellStyle name="Normal 6 2 3 2 74 3" xfId="21798"/>
    <cellStyle name="Normal 6 2 3 2 74 4" xfId="26841"/>
    <cellStyle name="Normal 6 2 3 2 74 5" xfId="31802"/>
    <cellStyle name="Normal 6 2 3 2 74 6" xfId="36660"/>
    <cellStyle name="Normal 6 2 3 2 74 7" xfId="41391"/>
    <cellStyle name="Normal 6 2 3 2 75" xfId="9889"/>
    <cellStyle name="Normal 6 2 3 2 75 2" xfId="16970"/>
    <cellStyle name="Normal 6 2 3 2 75 3" xfId="22087"/>
    <cellStyle name="Normal 6 2 3 2 75 4" xfId="27130"/>
    <cellStyle name="Normal 6 2 3 2 75 5" xfId="32091"/>
    <cellStyle name="Normal 6 2 3 2 75 6" xfId="36949"/>
    <cellStyle name="Normal 6 2 3 2 75 7" xfId="41680"/>
    <cellStyle name="Normal 6 2 3 2 76" xfId="9770"/>
    <cellStyle name="Normal 6 2 3 2 76 2" xfId="16851"/>
    <cellStyle name="Normal 6 2 3 2 76 3" xfId="21968"/>
    <cellStyle name="Normal 6 2 3 2 76 4" xfId="27011"/>
    <cellStyle name="Normal 6 2 3 2 76 5" xfId="31972"/>
    <cellStyle name="Normal 6 2 3 2 76 6" xfId="36830"/>
    <cellStyle name="Normal 6 2 3 2 76 7" xfId="41561"/>
    <cellStyle name="Normal 6 2 3 2 77" xfId="9730"/>
    <cellStyle name="Normal 6 2 3 2 77 2" xfId="16811"/>
    <cellStyle name="Normal 6 2 3 2 77 3" xfId="21928"/>
    <cellStyle name="Normal 6 2 3 2 77 4" xfId="26971"/>
    <cellStyle name="Normal 6 2 3 2 77 5" xfId="31932"/>
    <cellStyle name="Normal 6 2 3 2 77 6" xfId="36790"/>
    <cellStyle name="Normal 6 2 3 2 77 7" xfId="41521"/>
    <cellStyle name="Normal 6 2 3 2 78" xfId="9872"/>
    <cellStyle name="Normal 6 2 3 2 78 2" xfId="16953"/>
    <cellStyle name="Normal 6 2 3 2 78 3" xfId="22070"/>
    <cellStyle name="Normal 6 2 3 2 78 4" xfId="27113"/>
    <cellStyle name="Normal 6 2 3 2 78 5" xfId="32074"/>
    <cellStyle name="Normal 6 2 3 2 78 6" xfId="36932"/>
    <cellStyle name="Normal 6 2 3 2 78 7" xfId="41663"/>
    <cellStyle name="Normal 6 2 3 2 79" xfId="9961"/>
    <cellStyle name="Normal 6 2 3 2 79 2" xfId="17042"/>
    <cellStyle name="Normal 6 2 3 2 79 3" xfId="22159"/>
    <cellStyle name="Normal 6 2 3 2 79 4" xfId="27202"/>
    <cellStyle name="Normal 6 2 3 2 79 5" xfId="32163"/>
    <cellStyle name="Normal 6 2 3 2 79 6" xfId="37021"/>
    <cellStyle name="Normal 6 2 3 2 79 7" xfId="41752"/>
    <cellStyle name="Normal 6 2 3 2 8" xfId="4517"/>
    <cellStyle name="Normal 6 2 3 2 8 2" xfId="6081"/>
    <cellStyle name="Normal 6 2 3 2 8 3" xfId="18185"/>
    <cellStyle name="Normal 6 2 3 2 8 4" xfId="23228"/>
    <cellStyle name="Normal 6 2 3 2 8 5" xfId="28189"/>
    <cellStyle name="Normal 6 2 3 2 8 6" xfId="33047"/>
    <cellStyle name="Normal 6 2 3 2 8 7" xfId="37778"/>
    <cellStyle name="Normal 6 2 3 2 80" xfId="9863"/>
    <cellStyle name="Normal 6 2 3 2 80 2" xfId="16944"/>
    <cellStyle name="Normal 6 2 3 2 80 3" xfId="22061"/>
    <cellStyle name="Normal 6 2 3 2 80 4" xfId="27104"/>
    <cellStyle name="Normal 6 2 3 2 80 5" xfId="32065"/>
    <cellStyle name="Normal 6 2 3 2 80 6" xfId="36923"/>
    <cellStyle name="Normal 6 2 3 2 80 7" xfId="41654"/>
    <cellStyle name="Normal 6 2 3 2 81" xfId="10219"/>
    <cellStyle name="Normal 6 2 3 2 81 2" xfId="17300"/>
    <cellStyle name="Normal 6 2 3 2 81 3" xfId="22417"/>
    <cellStyle name="Normal 6 2 3 2 81 4" xfId="27460"/>
    <cellStyle name="Normal 6 2 3 2 81 5" xfId="32421"/>
    <cellStyle name="Normal 6 2 3 2 81 6" xfId="37279"/>
    <cellStyle name="Normal 6 2 3 2 81 7" xfId="42010"/>
    <cellStyle name="Normal 6 2 3 2 82" xfId="10100"/>
    <cellStyle name="Normal 6 2 3 2 82 2" xfId="17181"/>
    <cellStyle name="Normal 6 2 3 2 82 3" xfId="22298"/>
    <cellStyle name="Normal 6 2 3 2 82 4" xfId="27341"/>
    <cellStyle name="Normal 6 2 3 2 82 5" xfId="32302"/>
    <cellStyle name="Normal 6 2 3 2 82 6" xfId="37160"/>
    <cellStyle name="Normal 6 2 3 2 82 7" xfId="41891"/>
    <cellStyle name="Normal 6 2 3 2 83" xfId="10060"/>
    <cellStyle name="Normal 6 2 3 2 83 2" xfId="17141"/>
    <cellStyle name="Normal 6 2 3 2 83 3" xfId="22258"/>
    <cellStyle name="Normal 6 2 3 2 83 4" xfId="27301"/>
    <cellStyle name="Normal 6 2 3 2 83 5" xfId="32262"/>
    <cellStyle name="Normal 6 2 3 2 83 6" xfId="37120"/>
    <cellStyle name="Normal 6 2 3 2 83 7" xfId="41851"/>
    <cellStyle name="Normal 6 2 3 2 84" xfId="10202"/>
    <cellStyle name="Normal 6 2 3 2 84 2" xfId="17283"/>
    <cellStyle name="Normal 6 2 3 2 84 3" xfId="22400"/>
    <cellStyle name="Normal 6 2 3 2 84 4" xfId="27443"/>
    <cellStyle name="Normal 6 2 3 2 84 5" xfId="32404"/>
    <cellStyle name="Normal 6 2 3 2 84 6" xfId="37262"/>
    <cellStyle name="Normal 6 2 3 2 84 7" xfId="41993"/>
    <cellStyle name="Normal 6 2 3 2 85" xfId="10291"/>
    <cellStyle name="Normal 6 2 3 2 85 2" xfId="17372"/>
    <cellStyle name="Normal 6 2 3 2 85 3" xfId="22489"/>
    <cellStyle name="Normal 6 2 3 2 85 4" xfId="27532"/>
    <cellStyle name="Normal 6 2 3 2 85 5" xfId="32493"/>
    <cellStyle name="Normal 6 2 3 2 85 6" xfId="37351"/>
    <cellStyle name="Normal 6 2 3 2 85 7" xfId="42082"/>
    <cellStyle name="Normal 6 2 3 2 86" xfId="10193"/>
    <cellStyle name="Normal 6 2 3 2 86 2" xfId="17274"/>
    <cellStyle name="Normal 6 2 3 2 86 3" xfId="22391"/>
    <cellStyle name="Normal 6 2 3 2 86 4" xfId="27434"/>
    <cellStyle name="Normal 6 2 3 2 86 5" xfId="32395"/>
    <cellStyle name="Normal 6 2 3 2 86 6" xfId="37253"/>
    <cellStyle name="Normal 6 2 3 2 86 7" xfId="41984"/>
    <cellStyle name="Normal 6 2 3 2 87" xfId="13049"/>
    <cellStyle name="Normal 6 2 3 2 88" xfId="12155"/>
    <cellStyle name="Normal 6 2 3 2 89" xfId="14088"/>
    <cellStyle name="Normal 6 2 3 2 9" xfId="4550"/>
    <cellStyle name="Normal 6 2 3 2 9 2" xfId="5965"/>
    <cellStyle name="Normal 6 2 3 2 9 3" xfId="18067"/>
    <cellStyle name="Normal 6 2 3 2 9 4" xfId="23110"/>
    <cellStyle name="Normal 6 2 3 2 9 5" xfId="28071"/>
    <cellStyle name="Normal 6 2 3 2 9 6" xfId="32929"/>
    <cellStyle name="Normal 6 2 3 2 9 7" xfId="37660"/>
    <cellStyle name="Normal 6 2 3 2 90" xfId="17801"/>
    <cellStyle name="Normal 6 2 3 2 91" xfId="22864"/>
    <cellStyle name="Normal 6 2 3 2 92" xfId="27841"/>
    <cellStyle name="Normal 6 2 3 20" xfId="5316"/>
    <cellStyle name="Normal 6 2 3 20 2" xfId="6798"/>
    <cellStyle name="Normal 6 2 3 20 3" xfId="18919"/>
    <cellStyle name="Normal 6 2 3 20 4" xfId="23962"/>
    <cellStyle name="Normal 6 2 3 20 5" xfId="28923"/>
    <cellStyle name="Normal 6 2 3 20 6" xfId="33781"/>
    <cellStyle name="Normal 6 2 3 20 7" xfId="38512"/>
    <cellStyle name="Normal 6 2 3 21" xfId="5474"/>
    <cellStyle name="Normal 6 2 3 21 2" xfId="6837"/>
    <cellStyle name="Normal 6 2 3 21 3" xfId="18958"/>
    <cellStyle name="Normal 6 2 3 21 4" xfId="24001"/>
    <cellStyle name="Normal 6 2 3 21 5" xfId="28962"/>
    <cellStyle name="Normal 6 2 3 21 6" xfId="33820"/>
    <cellStyle name="Normal 6 2 3 21 7" xfId="38551"/>
    <cellStyle name="Normal 6 2 3 22" xfId="5587"/>
    <cellStyle name="Normal 6 2 3 22 2" xfId="6788"/>
    <cellStyle name="Normal 6 2 3 22 3" xfId="18909"/>
    <cellStyle name="Normal 6 2 3 22 4" xfId="23952"/>
    <cellStyle name="Normal 6 2 3 22 5" xfId="28913"/>
    <cellStyle name="Normal 6 2 3 22 6" xfId="33771"/>
    <cellStyle name="Normal 6 2 3 22 7" xfId="38502"/>
    <cellStyle name="Normal 6 2 3 23" xfId="5453"/>
    <cellStyle name="Normal 6 2 3 23 2" xfId="7028"/>
    <cellStyle name="Normal 6 2 3 23 3" xfId="19168"/>
    <cellStyle name="Normal 6 2 3 23 4" xfId="24211"/>
    <cellStyle name="Normal 6 2 3 23 5" xfId="29172"/>
    <cellStyle name="Normal 6 2 3 23 6" xfId="34030"/>
    <cellStyle name="Normal 6 2 3 23 7" xfId="38761"/>
    <cellStyle name="Normal 6 2 3 24" xfId="5363"/>
    <cellStyle name="Normal 6 2 3 24 2" xfId="7228"/>
    <cellStyle name="Normal 6 2 3 24 3" xfId="19386"/>
    <cellStyle name="Normal 6 2 3 24 4" xfId="24429"/>
    <cellStyle name="Normal 6 2 3 24 5" xfId="29390"/>
    <cellStyle name="Normal 6 2 3 24 6" xfId="34248"/>
    <cellStyle name="Normal 6 2 3 24 7" xfId="38979"/>
    <cellStyle name="Normal 6 2 3 25" xfId="5477"/>
    <cellStyle name="Normal 6 2 3 25 2" xfId="7352"/>
    <cellStyle name="Normal 6 2 3 25 3" xfId="19525"/>
    <cellStyle name="Normal 6 2 3 25 4" xfId="24568"/>
    <cellStyle name="Normal 6 2 3 25 5" xfId="29529"/>
    <cellStyle name="Normal 6 2 3 25 6" xfId="34387"/>
    <cellStyle name="Normal 6 2 3 25 7" xfId="39118"/>
    <cellStyle name="Normal 6 2 3 26" xfId="5480"/>
    <cellStyle name="Normal 6 2 3 26 2" xfId="7201"/>
    <cellStyle name="Normal 6 2 3 26 3" xfId="19357"/>
    <cellStyle name="Normal 6 2 3 26 4" xfId="24400"/>
    <cellStyle name="Normal 6 2 3 26 5" xfId="29361"/>
    <cellStyle name="Normal 6 2 3 26 6" xfId="34219"/>
    <cellStyle name="Normal 6 2 3 26 7" xfId="38950"/>
    <cellStyle name="Normal 6 2 3 27" xfId="5496"/>
    <cellStyle name="Normal 6 2 3 27 2" xfId="7083"/>
    <cellStyle name="Normal 6 2 3 27 3" xfId="19228"/>
    <cellStyle name="Normal 6 2 3 27 4" xfId="24271"/>
    <cellStyle name="Normal 6 2 3 27 5" xfId="29232"/>
    <cellStyle name="Normal 6 2 3 27 6" xfId="34090"/>
    <cellStyle name="Normal 6 2 3 27 7" xfId="38821"/>
    <cellStyle name="Normal 6 2 3 28" xfId="5377"/>
    <cellStyle name="Normal 6 2 3 28 2" xfId="7231"/>
    <cellStyle name="Normal 6 2 3 28 3" xfId="19389"/>
    <cellStyle name="Normal 6 2 3 28 4" xfId="24432"/>
    <cellStyle name="Normal 6 2 3 28 5" xfId="29393"/>
    <cellStyle name="Normal 6 2 3 28 6" xfId="34251"/>
    <cellStyle name="Normal 6 2 3 28 7" xfId="38982"/>
    <cellStyle name="Normal 6 2 3 29" xfId="5762"/>
    <cellStyle name="Normal 6 2 3 29 2" xfId="14402"/>
    <cellStyle name="Normal 6 2 3 29 3" xfId="19393"/>
    <cellStyle name="Normal 6 2 3 29 4" xfId="24436"/>
    <cellStyle name="Normal 6 2 3 29 5" xfId="29397"/>
    <cellStyle name="Normal 6 2 3 29 6" xfId="34255"/>
    <cellStyle name="Normal 6 2 3 29 7" xfId="38986"/>
    <cellStyle name="Normal 6 2 3 3" xfId="4253"/>
    <cellStyle name="Normal 6 2 3 3 2" xfId="6009"/>
    <cellStyle name="Normal 6 2 3 3 3" xfId="18112"/>
    <cellStyle name="Normal 6 2 3 3 4" xfId="23155"/>
    <cellStyle name="Normal 6 2 3 3 5" xfId="28116"/>
    <cellStyle name="Normal 6 2 3 3 6" xfId="32974"/>
    <cellStyle name="Normal 6 2 3 3 7" xfId="37705"/>
    <cellStyle name="Normal 6 2 3 30" xfId="7251"/>
    <cellStyle name="Normal 6 2 3 30 2" xfId="14414"/>
    <cellStyle name="Normal 6 2 3 30 3" xfId="19414"/>
    <cellStyle name="Normal 6 2 3 30 4" xfId="24457"/>
    <cellStyle name="Normal 6 2 3 30 5" xfId="29418"/>
    <cellStyle name="Normal 6 2 3 30 6" xfId="34276"/>
    <cellStyle name="Normal 6 2 3 30 7" xfId="39007"/>
    <cellStyle name="Normal 6 2 3 31" xfId="7112"/>
    <cellStyle name="Normal 6 2 3 31 2" xfId="14350"/>
    <cellStyle name="Normal 6 2 3 31 3" xfId="19258"/>
    <cellStyle name="Normal 6 2 3 31 4" xfId="24301"/>
    <cellStyle name="Normal 6 2 3 31 5" xfId="29262"/>
    <cellStyle name="Normal 6 2 3 31 6" xfId="34120"/>
    <cellStyle name="Normal 6 2 3 31 7" xfId="38851"/>
    <cellStyle name="Normal 6 2 3 32" xfId="7074"/>
    <cellStyle name="Normal 6 2 3 32 2" xfId="14332"/>
    <cellStyle name="Normal 6 2 3 32 3" xfId="19218"/>
    <cellStyle name="Normal 6 2 3 32 4" xfId="24261"/>
    <cellStyle name="Normal 6 2 3 32 5" xfId="29222"/>
    <cellStyle name="Normal 6 2 3 32 6" xfId="34080"/>
    <cellStyle name="Normal 6 2 3 32 7" xfId="38811"/>
    <cellStyle name="Normal 6 2 3 33" xfId="6935"/>
    <cellStyle name="Normal 6 2 3 33 2" xfId="14250"/>
    <cellStyle name="Normal 6 2 3 33 3" xfId="19064"/>
    <cellStyle name="Normal 6 2 3 33 4" xfId="24107"/>
    <cellStyle name="Normal 6 2 3 33 5" xfId="29068"/>
    <cellStyle name="Normal 6 2 3 33 6" xfId="33926"/>
    <cellStyle name="Normal 6 2 3 33 7" xfId="38657"/>
    <cellStyle name="Normal 6 2 3 34" xfId="7238"/>
    <cellStyle name="Normal 6 2 3 34 2" xfId="14407"/>
    <cellStyle name="Normal 6 2 3 34 3" xfId="19399"/>
    <cellStyle name="Normal 6 2 3 34 4" xfId="24442"/>
    <cellStyle name="Normal 6 2 3 34 5" xfId="29403"/>
    <cellStyle name="Normal 6 2 3 34 6" xfId="34261"/>
    <cellStyle name="Normal 6 2 3 34 7" xfId="38992"/>
    <cellStyle name="Normal 6 2 3 35" xfId="7656"/>
    <cellStyle name="Normal 6 2 3 35 2" xfId="14736"/>
    <cellStyle name="Normal 6 2 3 35 3" xfId="19853"/>
    <cellStyle name="Normal 6 2 3 35 4" xfId="24896"/>
    <cellStyle name="Normal 6 2 3 35 5" xfId="29857"/>
    <cellStyle name="Normal 6 2 3 35 6" xfId="34715"/>
    <cellStyle name="Normal 6 2 3 35 7" xfId="39446"/>
    <cellStyle name="Normal 6 2 3 36" xfId="7898"/>
    <cellStyle name="Normal 6 2 3 36 2" xfId="14978"/>
    <cellStyle name="Normal 6 2 3 36 3" xfId="20095"/>
    <cellStyle name="Normal 6 2 3 36 4" xfId="25138"/>
    <cellStyle name="Normal 6 2 3 36 5" xfId="30099"/>
    <cellStyle name="Normal 6 2 3 36 6" xfId="34957"/>
    <cellStyle name="Normal 6 2 3 36 7" xfId="39688"/>
    <cellStyle name="Normal 6 2 3 37" xfId="8073"/>
    <cellStyle name="Normal 6 2 3 37 2" xfId="15153"/>
    <cellStyle name="Normal 6 2 3 37 3" xfId="20270"/>
    <cellStyle name="Normal 6 2 3 37 4" xfId="25313"/>
    <cellStyle name="Normal 6 2 3 37 5" xfId="30274"/>
    <cellStyle name="Normal 6 2 3 37 6" xfId="35132"/>
    <cellStyle name="Normal 6 2 3 37 7" xfId="39863"/>
    <cellStyle name="Normal 6 2 3 38" xfId="7865"/>
    <cellStyle name="Normal 6 2 3 38 2" xfId="14945"/>
    <cellStyle name="Normal 6 2 3 38 3" xfId="20062"/>
    <cellStyle name="Normal 6 2 3 38 4" xfId="25105"/>
    <cellStyle name="Normal 6 2 3 38 5" xfId="30066"/>
    <cellStyle name="Normal 6 2 3 38 6" xfId="34924"/>
    <cellStyle name="Normal 6 2 3 38 7" xfId="39655"/>
    <cellStyle name="Normal 6 2 3 39" xfId="7725"/>
    <cellStyle name="Normal 6 2 3 39 2" xfId="14805"/>
    <cellStyle name="Normal 6 2 3 39 3" xfId="19922"/>
    <cellStyle name="Normal 6 2 3 39 4" xfId="24965"/>
    <cellStyle name="Normal 6 2 3 39 5" xfId="29926"/>
    <cellStyle name="Normal 6 2 3 39 6" xfId="34784"/>
    <cellStyle name="Normal 6 2 3 39 7" xfId="39515"/>
    <cellStyle name="Normal 6 2 3 4" xfId="4278"/>
    <cellStyle name="Normal 6 2 3 4 2" xfId="6277"/>
    <cellStyle name="Normal 6 2 3 4 3" xfId="18382"/>
    <cellStyle name="Normal 6 2 3 4 4" xfId="23425"/>
    <cellStyle name="Normal 6 2 3 4 5" xfId="28386"/>
    <cellStyle name="Normal 6 2 3 4 6" xfId="33244"/>
    <cellStyle name="Normal 6 2 3 4 7" xfId="37975"/>
    <cellStyle name="Normal 6 2 3 40" xfId="7901"/>
    <cellStyle name="Normal 6 2 3 40 2" xfId="14981"/>
    <cellStyle name="Normal 6 2 3 40 3" xfId="20098"/>
    <cellStyle name="Normal 6 2 3 40 4" xfId="25141"/>
    <cellStyle name="Normal 6 2 3 40 5" xfId="30102"/>
    <cellStyle name="Normal 6 2 3 40 6" xfId="34960"/>
    <cellStyle name="Normal 6 2 3 40 7" xfId="39691"/>
    <cellStyle name="Normal 6 2 3 41" xfId="7907"/>
    <cellStyle name="Normal 6 2 3 41 2" xfId="14987"/>
    <cellStyle name="Normal 6 2 3 41 3" xfId="20104"/>
    <cellStyle name="Normal 6 2 3 41 4" xfId="25147"/>
    <cellStyle name="Normal 6 2 3 41 5" xfId="30108"/>
    <cellStyle name="Normal 6 2 3 41 6" xfId="34966"/>
    <cellStyle name="Normal 6 2 3 41 7" xfId="39697"/>
    <cellStyle name="Normal 6 2 3 42" xfId="7933"/>
    <cellStyle name="Normal 6 2 3 42 2" xfId="15013"/>
    <cellStyle name="Normal 6 2 3 42 3" xfId="20130"/>
    <cellStyle name="Normal 6 2 3 42 4" xfId="25173"/>
    <cellStyle name="Normal 6 2 3 42 5" xfId="30134"/>
    <cellStyle name="Normal 6 2 3 42 6" xfId="34992"/>
    <cellStyle name="Normal 6 2 3 42 7" xfId="39723"/>
    <cellStyle name="Normal 6 2 3 43" xfId="7757"/>
    <cellStyle name="Normal 6 2 3 43 2" xfId="14837"/>
    <cellStyle name="Normal 6 2 3 43 3" xfId="19954"/>
    <cellStyle name="Normal 6 2 3 43 4" xfId="24997"/>
    <cellStyle name="Normal 6 2 3 43 5" xfId="29958"/>
    <cellStyle name="Normal 6 2 3 43 6" xfId="34816"/>
    <cellStyle name="Normal 6 2 3 43 7" xfId="39547"/>
    <cellStyle name="Normal 6 2 3 44" xfId="7715"/>
    <cellStyle name="Normal 6 2 3 44 2" xfId="14795"/>
    <cellStyle name="Normal 6 2 3 44 3" xfId="19912"/>
    <cellStyle name="Normal 6 2 3 44 4" xfId="24955"/>
    <cellStyle name="Normal 6 2 3 44 5" xfId="29916"/>
    <cellStyle name="Normal 6 2 3 44 6" xfId="34774"/>
    <cellStyle name="Normal 6 2 3 44 7" xfId="39505"/>
    <cellStyle name="Normal 6 2 3 45" xfId="7538"/>
    <cellStyle name="Normal 6 2 3 45 2" xfId="14616"/>
    <cellStyle name="Normal 6 2 3 45 3" xfId="19733"/>
    <cellStyle name="Normal 6 2 3 45 4" xfId="24776"/>
    <cellStyle name="Normal 6 2 3 45 5" xfId="29737"/>
    <cellStyle name="Normal 6 2 3 45 6" xfId="34595"/>
    <cellStyle name="Normal 6 2 3 45 7" xfId="39326"/>
    <cellStyle name="Normal 6 2 3 46" xfId="7915"/>
    <cellStyle name="Normal 6 2 3 46 2" xfId="14995"/>
    <cellStyle name="Normal 6 2 3 46 3" xfId="20112"/>
    <cellStyle name="Normal 6 2 3 46 4" xfId="25155"/>
    <cellStyle name="Normal 6 2 3 46 5" xfId="30116"/>
    <cellStyle name="Normal 6 2 3 46 6" xfId="34974"/>
    <cellStyle name="Normal 6 2 3 46 7" xfId="39705"/>
    <cellStyle name="Normal 6 2 3 47" xfId="7926"/>
    <cellStyle name="Normal 6 2 3 47 2" xfId="15006"/>
    <cellStyle name="Normal 6 2 3 47 3" xfId="20123"/>
    <cellStyle name="Normal 6 2 3 47 4" xfId="25166"/>
    <cellStyle name="Normal 6 2 3 47 5" xfId="30127"/>
    <cellStyle name="Normal 6 2 3 47 6" xfId="34985"/>
    <cellStyle name="Normal 6 2 3 47 7" xfId="39716"/>
    <cellStyle name="Normal 6 2 3 48" xfId="7909"/>
    <cellStyle name="Normal 6 2 3 48 2" xfId="14989"/>
    <cellStyle name="Normal 6 2 3 48 3" xfId="20106"/>
    <cellStyle name="Normal 6 2 3 48 4" xfId="25149"/>
    <cellStyle name="Normal 6 2 3 48 5" xfId="30110"/>
    <cellStyle name="Normal 6 2 3 48 6" xfId="34968"/>
    <cellStyle name="Normal 6 2 3 48 7" xfId="39699"/>
    <cellStyle name="Normal 6 2 3 49" xfId="8434"/>
    <cellStyle name="Normal 6 2 3 49 2" xfId="15515"/>
    <cellStyle name="Normal 6 2 3 49 3" xfId="20632"/>
    <cellStyle name="Normal 6 2 3 49 4" xfId="25675"/>
    <cellStyle name="Normal 6 2 3 49 5" xfId="30636"/>
    <cellStyle name="Normal 6 2 3 49 6" xfId="35494"/>
    <cellStyle name="Normal 6 2 3 49 7" xfId="40225"/>
    <cellStyle name="Normal 6 2 3 5" xfId="4333"/>
    <cellStyle name="Normal 6 2 3 5 2" xfId="6473"/>
    <cellStyle name="Normal 6 2 3 5 3" xfId="18583"/>
    <cellStyle name="Normal 6 2 3 5 4" xfId="23626"/>
    <cellStyle name="Normal 6 2 3 5 5" xfId="28587"/>
    <cellStyle name="Normal 6 2 3 5 6" xfId="33445"/>
    <cellStyle name="Normal 6 2 3 5 7" xfId="38176"/>
    <cellStyle name="Normal 6 2 3 50" xfId="8701"/>
    <cellStyle name="Normal 6 2 3 50 2" xfId="15782"/>
    <cellStyle name="Normal 6 2 3 50 3" xfId="20899"/>
    <cellStyle name="Normal 6 2 3 50 4" xfId="25942"/>
    <cellStyle name="Normal 6 2 3 50 5" xfId="30903"/>
    <cellStyle name="Normal 6 2 3 50 6" xfId="35761"/>
    <cellStyle name="Normal 6 2 3 50 7" xfId="40492"/>
    <cellStyle name="Normal 6 2 3 51" xfId="8870"/>
    <cellStyle name="Normal 6 2 3 51 2" xfId="15951"/>
    <cellStyle name="Normal 6 2 3 51 3" xfId="21068"/>
    <cellStyle name="Normal 6 2 3 51 4" xfId="26111"/>
    <cellStyle name="Normal 6 2 3 51 5" xfId="31072"/>
    <cellStyle name="Normal 6 2 3 51 6" xfId="35930"/>
    <cellStyle name="Normal 6 2 3 51 7" xfId="40661"/>
    <cellStyle name="Normal 6 2 3 52" xfId="8664"/>
    <cellStyle name="Normal 6 2 3 52 2" xfId="15745"/>
    <cellStyle name="Normal 6 2 3 52 3" xfId="20862"/>
    <cellStyle name="Normal 6 2 3 52 4" xfId="25905"/>
    <cellStyle name="Normal 6 2 3 52 5" xfId="30866"/>
    <cellStyle name="Normal 6 2 3 52 6" xfId="35724"/>
    <cellStyle name="Normal 6 2 3 52 7" xfId="40455"/>
    <cellStyle name="Normal 6 2 3 53" xfId="8508"/>
    <cellStyle name="Normal 6 2 3 53 2" xfId="15589"/>
    <cellStyle name="Normal 6 2 3 53 3" xfId="20706"/>
    <cellStyle name="Normal 6 2 3 53 4" xfId="25749"/>
    <cellStyle name="Normal 6 2 3 53 5" xfId="30710"/>
    <cellStyle name="Normal 6 2 3 53 6" xfId="35568"/>
    <cellStyle name="Normal 6 2 3 53 7" xfId="40299"/>
    <cellStyle name="Normal 6 2 3 54" xfId="8703"/>
    <cellStyle name="Normal 6 2 3 54 2" xfId="15784"/>
    <cellStyle name="Normal 6 2 3 54 3" xfId="20901"/>
    <cellStyle name="Normal 6 2 3 54 4" xfId="25944"/>
    <cellStyle name="Normal 6 2 3 54 5" xfId="30905"/>
    <cellStyle name="Normal 6 2 3 54 6" xfId="35763"/>
    <cellStyle name="Normal 6 2 3 54 7" xfId="40494"/>
    <cellStyle name="Normal 6 2 3 55" xfId="8708"/>
    <cellStyle name="Normal 6 2 3 55 2" xfId="15789"/>
    <cellStyle name="Normal 6 2 3 55 3" xfId="20906"/>
    <cellStyle name="Normal 6 2 3 55 4" xfId="25949"/>
    <cellStyle name="Normal 6 2 3 55 5" xfId="30910"/>
    <cellStyle name="Normal 6 2 3 55 6" xfId="35768"/>
    <cellStyle name="Normal 6 2 3 55 7" xfId="40499"/>
    <cellStyle name="Normal 6 2 3 56" xfId="8770"/>
    <cellStyle name="Normal 6 2 3 56 2" xfId="15851"/>
    <cellStyle name="Normal 6 2 3 56 3" xfId="20968"/>
    <cellStyle name="Normal 6 2 3 56 4" xfId="26011"/>
    <cellStyle name="Normal 6 2 3 56 5" xfId="30972"/>
    <cellStyle name="Normal 6 2 3 56 6" xfId="35830"/>
    <cellStyle name="Normal 6 2 3 56 7" xfId="40561"/>
    <cellStyle name="Normal 6 2 3 57" xfId="8719"/>
    <cellStyle name="Normal 6 2 3 57 2" xfId="15800"/>
    <cellStyle name="Normal 6 2 3 57 3" xfId="20917"/>
    <cellStyle name="Normal 6 2 3 57 4" xfId="25960"/>
    <cellStyle name="Normal 6 2 3 57 5" xfId="30921"/>
    <cellStyle name="Normal 6 2 3 57 6" xfId="35779"/>
    <cellStyle name="Normal 6 2 3 57 7" xfId="40510"/>
    <cellStyle name="Normal 6 2 3 58" xfId="8614"/>
    <cellStyle name="Normal 6 2 3 58 2" xfId="15695"/>
    <cellStyle name="Normal 6 2 3 58 3" xfId="20812"/>
    <cellStyle name="Normal 6 2 3 58 4" xfId="25855"/>
    <cellStyle name="Normal 6 2 3 58 5" xfId="30816"/>
    <cellStyle name="Normal 6 2 3 58 6" xfId="35674"/>
    <cellStyle name="Normal 6 2 3 58 7" xfId="40405"/>
    <cellStyle name="Normal 6 2 3 59" xfId="8449"/>
    <cellStyle name="Normal 6 2 3 59 2" xfId="15530"/>
    <cellStyle name="Normal 6 2 3 59 3" xfId="20647"/>
    <cellStyle name="Normal 6 2 3 59 4" xfId="25690"/>
    <cellStyle name="Normal 6 2 3 59 5" xfId="30651"/>
    <cellStyle name="Normal 6 2 3 59 6" xfId="35509"/>
    <cellStyle name="Normal 6 2 3 59 7" xfId="40240"/>
    <cellStyle name="Normal 6 2 3 6" xfId="4394"/>
    <cellStyle name="Normal 6 2 3 6 2" xfId="6242"/>
    <cellStyle name="Normal 6 2 3 6 3" xfId="18346"/>
    <cellStyle name="Normal 6 2 3 6 4" xfId="23389"/>
    <cellStyle name="Normal 6 2 3 6 5" xfId="28350"/>
    <cellStyle name="Normal 6 2 3 6 6" xfId="33208"/>
    <cellStyle name="Normal 6 2 3 6 7" xfId="37939"/>
    <cellStyle name="Normal 6 2 3 60" xfId="8564"/>
    <cellStyle name="Normal 6 2 3 60 2" xfId="15645"/>
    <cellStyle name="Normal 6 2 3 60 3" xfId="20762"/>
    <cellStyle name="Normal 6 2 3 60 4" xfId="25805"/>
    <cellStyle name="Normal 6 2 3 60 5" xfId="30766"/>
    <cellStyle name="Normal 6 2 3 60 6" xfId="35624"/>
    <cellStyle name="Normal 6 2 3 60 7" xfId="40355"/>
    <cellStyle name="Normal 6 2 3 61" xfId="8549"/>
    <cellStyle name="Normal 6 2 3 61 2" xfId="15630"/>
    <cellStyle name="Normal 6 2 3 61 3" xfId="20747"/>
    <cellStyle name="Normal 6 2 3 61 4" xfId="25790"/>
    <cellStyle name="Normal 6 2 3 61 5" xfId="30751"/>
    <cellStyle name="Normal 6 2 3 61 6" xfId="35609"/>
    <cellStyle name="Normal 6 2 3 61 7" xfId="40340"/>
    <cellStyle name="Normal 6 2 3 62" xfId="8706"/>
    <cellStyle name="Normal 6 2 3 62 2" xfId="15787"/>
    <cellStyle name="Normal 6 2 3 62 3" xfId="20904"/>
    <cellStyle name="Normal 6 2 3 62 4" xfId="25947"/>
    <cellStyle name="Normal 6 2 3 62 5" xfId="30908"/>
    <cellStyle name="Normal 6 2 3 62 6" xfId="35766"/>
    <cellStyle name="Normal 6 2 3 62 7" xfId="40497"/>
    <cellStyle name="Normal 6 2 3 63" xfId="8540"/>
    <cellStyle name="Normal 6 2 3 63 2" xfId="15621"/>
    <cellStyle name="Normal 6 2 3 63 3" xfId="20738"/>
    <cellStyle name="Normal 6 2 3 63 4" xfId="25781"/>
    <cellStyle name="Normal 6 2 3 63 5" xfId="30742"/>
    <cellStyle name="Normal 6 2 3 63 6" xfId="35600"/>
    <cellStyle name="Normal 6 2 3 63 7" xfId="40331"/>
    <cellStyle name="Normal 6 2 3 64" xfId="9228"/>
    <cellStyle name="Normal 6 2 3 64 2" xfId="16309"/>
    <cellStyle name="Normal 6 2 3 64 3" xfId="21426"/>
    <cellStyle name="Normal 6 2 3 64 4" xfId="26469"/>
    <cellStyle name="Normal 6 2 3 64 5" xfId="31430"/>
    <cellStyle name="Normal 6 2 3 64 6" xfId="36288"/>
    <cellStyle name="Normal 6 2 3 64 7" xfId="41019"/>
    <cellStyle name="Normal 6 2 3 65" xfId="9446"/>
    <cellStyle name="Normal 6 2 3 65 2" xfId="16527"/>
    <cellStyle name="Normal 6 2 3 65 3" xfId="21644"/>
    <cellStyle name="Normal 6 2 3 65 4" xfId="26687"/>
    <cellStyle name="Normal 6 2 3 65 5" xfId="31648"/>
    <cellStyle name="Normal 6 2 3 65 6" xfId="36506"/>
    <cellStyle name="Normal 6 2 3 65 7" xfId="41237"/>
    <cellStyle name="Normal 6 2 3 66" xfId="9585"/>
    <cellStyle name="Normal 6 2 3 66 2" xfId="16666"/>
    <cellStyle name="Normal 6 2 3 66 3" xfId="21783"/>
    <cellStyle name="Normal 6 2 3 66 4" xfId="26826"/>
    <cellStyle name="Normal 6 2 3 66 5" xfId="31787"/>
    <cellStyle name="Normal 6 2 3 66 6" xfId="36645"/>
    <cellStyle name="Normal 6 2 3 66 7" xfId="41376"/>
    <cellStyle name="Normal 6 2 3 67" xfId="9417"/>
    <cellStyle name="Normal 6 2 3 67 2" xfId="16498"/>
    <cellStyle name="Normal 6 2 3 67 3" xfId="21615"/>
    <cellStyle name="Normal 6 2 3 67 4" xfId="26658"/>
    <cellStyle name="Normal 6 2 3 67 5" xfId="31619"/>
    <cellStyle name="Normal 6 2 3 67 6" xfId="36477"/>
    <cellStyle name="Normal 6 2 3 67 7" xfId="41208"/>
    <cellStyle name="Normal 6 2 3 68" xfId="9288"/>
    <cellStyle name="Normal 6 2 3 68 2" xfId="16369"/>
    <cellStyle name="Normal 6 2 3 68 3" xfId="21486"/>
    <cellStyle name="Normal 6 2 3 68 4" xfId="26529"/>
    <cellStyle name="Normal 6 2 3 68 5" xfId="31490"/>
    <cellStyle name="Normal 6 2 3 68 6" xfId="36348"/>
    <cellStyle name="Normal 6 2 3 68 7" xfId="41079"/>
    <cellStyle name="Normal 6 2 3 69" xfId="9449"/>
    <cellStyle name="Normal 6 2 3 69 2" xfId="16530"/>
    <cellStyle name="Normal 6 2 3 69 3" xfId="21647"/>
    <cellStyle name="Normal 6 2 3 69 4" xfId="26690"/>
    <cellStyle name="Normal 6 2 3 69 5" xfId="31651"/>
    <cellStyle name="Normal 6 2 3 69 6" xfId="36509"/>
    <cellStyle name="Normal 6 2 3 69 7" xfId="41240"/>
    <cellStyle name="Normal 6 2 3 7" xfId="4450"/>
    <cellStyle name="Normal 6 2 3 7 2" xfId="6084"/>
    <cellStyle name="Normal 6 2 3 7 3" xfId="18188"/>
    <cellStyle name="Normal 6 2 3 7 4" xfId="23231"/>
    <cellStyle name="Normal 6 2 3 7 5" xfId="28192"/>
    <cellStyle name="Normal 6 2 3 7 6" xfId="33050"/>
    <cellStyle name="Normal 6 2 3 7 7" xfId="37781"/>
    <cellStyle name="Normal 6 2 3 70" xfId="9453"/>
    <cellStyle name="Normal 6 2 3 70 2" xfId="16534"/>
    <cellStyle name="Normal 6 2 3 70 3" xfId="21651"/>
    <cellStyle name="Normal 6 2 3 70 4" xfId="26694"/>
    <cellStyle name="Normal 6 2 3 70 5" xfId="31655"/>
    <cellStyle name="Normal 6 2 3 70 6" xfId="36513"/>
    <cellStyle name="Normal 6 2 3 70 7" xfId="41244"/>
    <cellStyle name="Normal 6 2 3 71" xfId="9474"/>
    <cellStyle name="Normal 6 2 3 71 2" xfId="16555"/>
    <cellStyle name="Normal 6 2 3 71 3" xfId="21672"/>
    <cellStyle name="Normal 6 2 3 71 4" xfId="26715"/>
    <cellStyle name="Normal 6 2 3 71 5" xfId="31676"/>
    <cellStyle name="Normal 6 2 3 71 6" xfId="36534"/>
    <cellStyle name="Normal 6 2 3 71 7" xfId="41265"/>
    <cellStyle name="Normal 6 2 3 72" xfId="9318"/>
    <cellStyle name="Normal 6 2 3 72 2" xfId="16399"/>
    <cellStyle name="Normal 6 2 3 72 3" xfId="21516"/>
    <cellStyle name="Normal 6 2 3 72 4" xfId="26559"/>
    <cellStyle name="Normal 6 2 3 72 5" xfId="31520"/>
    <cellStyle name="Normal 6 2 3 72 6" xfId="36378"/>
    <cellStyle name="Normal 6 2 3 72 7" xfId="41109"/>
    <cellStyle name="Normal 6 2 3 73" xfId="9278"/>
    <cellStyle name="Normal 6 2 3 73 2" xfId="16359"/>
    <cellStyle name="Normal 6 2 3 73 3" xfId="21476"/>
    <cellStyle name="Normal 6 2 3 73 4" xfId="26519"/>
    <cellStyle name="Normal 6 2 3 73 5" xfId="31480"/>
    <cellStyle name="Normal 6 2 3 73 6" xfId="36338"/>
    <cellStyle name="Normal 6 2 3 73 7" xfId="41069"/>
    <cellStyle name="Normal 6 2 3 74" xfId="9124"/>
    <cellStyle name="Normal 6 2 3 74 2" xfId="16205"/>
    <cellStyle name="Normal 6 2 3 74 3" xfId="21322"/>
    <cellStyle name="Normal 6 2 3 74 4" xfId="26365"/>
    <cellStyle name="Normal 6 2 3 74 5" xfId="31326"/>
    <cellStyle name="Normal 6 2 3 74 6" xfId="36184"/>
    <cellStyle name="Normal 6 2 3 74 7" xfId="40915"/>
    <cellStyle name="Normal 6 2 3 75" xfId="9459"/>
    <cellStyle name="Normal 6 2 3 75 2" xfId="16540"/>
    <cellStyle name="Normal 6 2 3 75 3" xfId="21657"/>
    <cellStyle name="Normal 6 2 3 75 4" xfId="26700"/>
    <cellStyle name="Normal 6 2 3 75 5" xfId="31661"/>
    <cellStyle name="Normal 6 2 3 75 6" xfId="36519"/>
    <cellStyle name="Normal 6 2 3 75 7" xfId="41250"/>
    <cellStyle name="Normal 6 2 3 76" xfId="9803"/>
    <cellStyle name="Normal 6 2 3 76 2" xfId="16884"/>
    <cellStyle name="Normal 6 2 3 76 3" xfId="22001"/>
    <cellStyle name="Normal 6 2 3 76 4" xfId="27044"/>
    <cellStyle name="Normal 6 2 3 76 5" xfId="32005"/>
    <cellStyle name="Normal 6 2 3 76 6" xfId="36863"/>
    <cellStyle name="Normal 6 2 3 76 7" xfId="41594"/>
    <cellStyle name="Normal 6 2 3 77" xfId="9924"/>
    <cellStyle name="Normal 6 2 3 77 2" xfId="17005"/>
    <cellStyle name="Normal 6 2 3 77 3" xfId="22122"/>
    <cellStyle name="Normal 6 2 3 77 4" xfId="27165"/>
    <cellStyle name="Normal 6 2 3 77 5" xfId="32126"/>
    <cellStyle name="Normal 6 2 3 77 6" xfId="36984"/>
    <cellStyle name="Normal 6 2 3 77 7" xfId="41715"/>
    <cellStyle name="Normal 6 2 3 78" xfId="9988"/>
    <cellStyle name="Normal 6 2 3 78 2" xfId="17069"/>
    <cellStyle name="Normal 6 2 3 78 3" xfId="22186"/>
    <cellStyle name="Normal 6 2 3 78 4" xfId="27229"/>
    <cellStyle name="Normal 6 2 3 78 5" xfId="32190"/>
    <cellStyle name="Normal 6 2 3 78 6" xfId="37048"/>
    <cellStyle name="Normal 6 2 3 78 7" xfId="41779"/>
    <cellStyle name="Normal 6 2 3 79" xfId="9905"/>
    <cellStyle name="Normal 6 2 3 79 2" xfId="16986"/>
    <cellStyle name="Normal 6 2 3 79 3" xfId="22103"/>
    <cellStyle name="Normal 6 2 3 79 4" xfId="27146"/>
    <cellStyle name="Normal 6 2 3 79 5" xfId="32107"/>
    <cellStyle name="Normal 6 2 3 79 6" xfId="36965"/>
    <cellStyle name="Normal 6 2 3 79 7" xfId="41696"/>
    <cellStyle name="Normal 6 2 3 8" xfId="4535"/>
    <cellStyle name="Normal 6 2 3 8 2" xfId="6280"/>
    <cellStyle name="Normal 6 2 3 8 3" xfId="18385"/>
    <cellStyle name="Normal 6 2 3 8 4" xfId="23428"/>
    <cellStyle name="Normal 6 2 3 8 5" xfId="28389"/>
    <cellStyle name="Normal 6 2 3 8 6" xfId="33247"/>
    <cellStyle name="Normal 6 2 3 8 7" xfId="37978"/>
    <cellStyle name="Normal 6 2 3 80" xfId="9834"/>
    <cellStyle name="Normal 6 2 3 80 2" xfId="16915"/>
    <cellStyle name="Normal 6 2 3 80 3" xfId="22032"/>
    <cellStyle name="Normal 6 2 3 80 4" xfId="27075"/>
    <cellStyle name="Normal 6 2 3 80 5" xfId="32036"/>
    <cellStyle name="Normal 6 2 3 80 6" xfId="36894"/>
    <cellStyle name="Normal 6 2 3 80 7" xfId="41625"/>
    <cellStyle name="Normal 6 2 3 81" xfId="9926"/>
    <cellStyle name="Normal 6 2 3 81 2" xfId="17007"/>
    <cellStyle name="Normal 6 2 3 81 3" xfId="22124"/>
    <cellStyle name="Normal 6 2 3 81 4" xfId="27167"/>
    <cellStyle name="Normal 6 2 3 81 5" xfId="32128"/>
    <cellStyle name="Normal 6 2 3 81 6" xfId="36986"/>
    <cellStyle name="Normal 6 2 3 81 7" xfId="41717"/>
    <cellStyle name="Normal 6 2 3 82" xfId="10133"/>
    <cellStyle name="Normal 6 2 3 82 2" xfId="17214"/>
    <cellStyle name="Normal 6 2 3 82 3" xfId="22331"/>
    <cellStyle name="Normal 6 2 3 82 4" xfId="27374"/>
    <cellStyle name="Normal 6 2 3 82 5" xfId="32335"/>
    <cellStyle name="Normal 6 2 3 82 6" xfId="37193"/>
    <cellStyle name="Normal 6 2 3 82 7" xfId="41924"/>
    <cellStyle name="Normal 6 2 3 83" xfId="10254"/>
    <cellStyle name="Normal 6 2 3 83 2" xfId="17335"/>
    <cellStyle name="Normal 6 2 3 83 3" xfId="22452"/>
    <cellStyle name="Normal 6 2 3 83 4" xfId="27495"/>
    <cellStyle name="Normal 6 2 3 83 5" xfId="32456"/>
    <cellStyle name="Normal 6 2 3 83 6" xfId="37314"/>
    <cellStyle name="Normal 6 2 3 83 7" xfId="42045"/>
    <cellStyle name="Normal 6 2 3 84" xfId="10318"/>
    <cellStyle name="Normal 6 2 3 84 2" xfId="17399"/>
    <cellStyle name="Normal 6 2 3 84 3" xfId="22516"/>
    <cellStyle name="Normal 6 2 3 84 4" xfId="27559"/>
    <cellStyle name="Normal 6 2 3 84 5" xfId="32520"/>
    <cellStyle name="Normal 6 2 3 84 6" xfId="37378"/>
    <cellStyle name="Normal 6 2 3 84 7" xfId="42109"/>
    <cellStyle name="Normal 6 2 3 85" xfId="10235"/>
    <cellStyle name="Normal 6 2 3 85 2" xfId="17316"/>
    <cellStyle name="Normal 6 2 3 85 3" xfId="22433"/>
    <cellStyle name="Normal 6 2 3 85 4" xfId="27476"/>
    <cellStyle name="Normal 6 2 3 85 5" xfId="32437"/>
    <cellStyle name="Normal 6 2 3 85 6" xfId="37295"/>
    <cellStyle name="Normal 6 2 3 85 7" xfId="42026"/>
    <cellStyle name="Normal 6 2 3 86" xfId="10164"/>
    <cellStyle name="Normal 6 2 3 86 2" xfId="17245"/>
    <cellStyle name="Normal 6 2 3 86 3" xfId="22362"/>
    <cellStyle name="Normal 6 2 3 86 4" xfId="27405"/>
    <cellStyle name="Normal 6 2 3 86 5" xfId="32366"/>
    <cellStyle name="Normal 6 2 3 86 6" xfId="37224"/>
    <cellStyle name="Normal 6 2 3 86 7" xfId="41955"/>
    <cellStyle name="Normal 6 2 3 87" xfId="10256"/>
    <cellStyle name="Normal 6 2 3 87 2" xfId="17337"/>
    <cellStyle name="Normal 6 2 3 87 3" xfId="22454"/>
    <cellStyle name="Normal 6 2 3 87 4" xfId="27497"/>
    <cellStyle name="Normal 6 2 3 87 5" xfId="32458"/>
    <cellStyle name="Normal 6 2 3 87 6" xfId="37316"/>
    <cellStyle name="Normal 6 2 3 87 7" xfId="42047"/>
    <cellStyle name="Normal 6 2 3 88" xfId="12261"/>
    <cellStyle name="Normal 6 2 3 89" xfId="13589"/>
    <cellStyle name="Normal 6 2 3 9" xfId="4598"/>
    <cellStyle name="Normal 6 2 3 9 2" xfId="6287"/>
    <cellStyle name="Normal 6 2 3 9 3" xfId="18393"/>
    <cellStyle name="Normal 6 2 3 9 4" xfId="23436"/>
    <cellStyle name="Normal 6 2 3 9 5" xfId="28397"/>
    <cellStyle name="Normal 6 2 3 9 6" xfId="33255"/>
    <cellStyle name="Normal 6 2 3 9 7" xfId="37986"/>
    <cellStyle name="Normal 6 2 3 90" xfId="12058"/>
    <cellStyle name="Normal 6 2 3 91" xfId="12169"/>
    <cellStyle name="Normal 6 2 3 92" xfId="12036"/>
    <cellStyle name="Normal 6 2 3 93" xfId="13782"/>
    <cellStyle name="Normal 6 2 30" xfId="5752"/>
    <cellStyle name="Normal 6 2 30 2" xfId="14304"/>
    <cellStyle name="Normal 6 2 30 3" xfId="19167"/>
    <cellStyle name="Normal 6 2 30 4" xfId="24210"/>
    <cellStyle name="Normal 6 2 30 5" xfId="29171"/>
    <cellStyle name="Normal 6 2 30 6" xfId="34029"/>
    <cellStyle name="Normal 6 2 30 7" xfId="38760"/>
    <cellStyle name="Normal 6 2 31" xfId="7065"/>
    <cellStyle name="Normal 6 2 31 2" xfId="14327"/>
    <cellStyle name="Normal 6 2 31 3" xfId="19209"/>
    <cellStyle name="Normal 6 2 31 4" xfId="24252"/>
    <cellStyle name="Normal 6 2 31 5" xfId="29213"/>
    <cellStyle name="Normal 6 2 31 6" xfId="34071"/>
    <cellStyle name="Normal 6 2 31 7" xfId="38802"/>
    <cellStyle name="Normal 6 2 32" xfId="6972"/>
    <cellStyle name="Normal 6 2 32 2" xfId="14272"/>
    <cellStyle name="Normal 6 2 32 3" xfId="19104"/>
    <cellStyle name="Normal 6 2 32 4" xfId="24147"/>
    <cellStyle name="Normal 6 2 32 5" xfId="29108"/>
    <cellStyle name="Normal 6 2 32 6" xfId="33966"/>
    <cellStyle name="Normal 6 2 32 7" xfId="38697"/>
    <cellStyle name="Normal 6 2 33" xfId="7088"/>
    <cellStyle name="Normal 6 2 33 2" xfId="14335"/>
    <cellStyle name="Normal 6 2 33 3" xfId="19233"/>
    <cellStyle name="Normal 6 2 33 4" xfId="24276"/>
    <cellStyle name="Normal 6 2 33 5" xfId="29237"/>
    <cellStyle name="Normal 6 2 33 6" xfId="34095"/>
    <cellStyle name="Normal 6 2 33 7" xfId="38826"/>
    <cellStyle name="Normal 6 2 34" xfId="6892"/>
    <cellStyle name="Normal 6 2 34 2" xfId="14227"/>
    <cellStyle name="Normal 6 2 34 3" xfId="19015"/>
    <cellStyle name="Normal 6 2 34 4" xfId="24058"/>
    <cellStyle name="Normal 6 2 34 5" xfId="29019"/>
    <cellStyle name="Normal 6 2 34 6" xfId="33877"/>
    <cellStyle name="Normal 6 2 34 7" xfId="38608"/>
    <cellStyle name="Normal 6 2 35" xfId="7292"/>
    <cellStyle name="Normal 6 2 35 2" xfId="14436"/>
    <cellStyle name="Normal 6 2 35 3" xfId="19459"/>
    <cellStyle name="Normal 6 2 35 4" xfId="24502"/>
    <cellStyle name="Normal 6 2 35 5" xfId="29463"/>
    <cellStyle name="Normal 6 2 35 6" xfId="34321"/>
    <cellStyle name="Normal 6 2 35 7" xfId="39052"/>
    <cellStyle name="Normal 6 2 36" xfId="7644"/>
    <cellStyle name="Normal 6 2 36 2" xfId="14724"/>
    <cellStyle name="Normal 6 2 36 3" xfId="19841"/>
    <cellStyle name="Normal 6 2 36 4" xfId="24884"/>
    <cellStyle name="Normal 6 2 36 5" xfId="29845"/>
    <cellStyle name="Normal 6 2 36 6" xfId="34703"/>
    <cellStyle name="Normal 6 2 36 7" xfId="39434"/>
    <cellStyle name="Normal 6 2 37" xfId="8088"/>
    <cellStyle name="Normal 6 2 37 2" xfId="15168"/>
    <cellStyle name="Normal 6 2 37 3" xfId="20285"/>
    <cellStyle name="Normal 6 2 37 4" xfId="25328"/>
    <cellStyle name="Normal 6 2 37 5" xfId="30289"/>
    <cellStyle name="Normal 6 2 37 6" xfId="35147"/>
    <cellStyle name="Normal 6 2 37 7" xfId="39878"/>
    <cellStyle name="Normal 6 2 38" xfId="8020"/>
    <cellStyle name="Normal 6 2 38 2" xfId="15100"/>
    <cellStyle name="Normal 6 2 38 3" xfId="20217"/>
    <cellStyle name="Normal 6 2 38 4" xfId="25260"/>
    <cellStyle name="Normal 6 2 38 5" xfId="30221"/>
    <cellStyle name="Normal 6 2 38 6" xfId="35079"/>
    <cellStyle name="Normal 6 2 38 7" xfId="39810"/>
    <cellStyle name="Normal 6 2 39" xfId="7872"/>
    <cellStyle name="Normal 6 2 39 2" xfId="14952"/>
    <cellStyle name="Normal 6 2 39 3" xfId="20069"/>
    <cellStyle name="Normal 6 2 39 4" xfId="25112"/>
    <cellStyle name="Normal 6 2 39 5" xfId="30073"/>
    <cellStyle name="Normal 6 2 39 6" xfId="34931"/>
    <cellStyle name="Normal 6 2 39 7" xfId="39662"/>
    <cellStyle name="Normal 6 2 4" xfId="4242"/>
    <cellStyle name="Normal 6 2 4 2" xfId="5996"/>
    <cellStyle name="Normal 6 2 4 3" xfId="18099"/>
    <cellStyle name="Normal 6 2 4 4" xfId="23142"/>
    <cellStyle name="Normal 6 2 4 5" xfId="28103"/>
    <cellStyle name="Normal 6 2 4 6" xfId="32961"/>
    <cellStyle name="Normal 6 2 4 7" xfId="37692"/>
    <cellStyle name="Normal 6 2 40" xfId="7626"/>
    <cellStyle name="Normal 6 2 40 2" xfId="14706"/>
    <cellStyle name="Normal 6 2 40 3" xfId="19823"/>
    <cellStyle name="Normal 6 2 40 4" xfId="24866"/>
    <cellStyle name="Normal 6 2 40 5" xfId="29827"/>
    <cellStyle name="Normal 6 2 40 6" xfId="34685"/>
    <cellStyle name="Normal 6 2 40 7" xfId="39416"/>
    <cellStyle name="Normal 6 2 41" xfId="7698"/>
    <cellStyle name="Normal 6 2 41 2" xfId="14778"/>
    <cellStyle name="Normal 6 2 41 3" xfId="19895"/>
    <cellStyle name="Normal 6 2 41 4" xfId="24938"/>
    <cellStyle name="Normal 6 2 41 5" xfId="29899"/>
    <cellStyle name="Normal 6 2 41 6" xfId="34757"/>
    <cellStyle name="Normal 6 2 41 7" xfId="39488"/>
    <cellStyle name="Normal 6 2 42" xfId="7655"/>
    <cellStyle name="Normal 6 2 42 2" xfId="14735"/>
    <cellStyle name="Normal 6 2 42 3" xfId="19852"/>
    <cellStyle name="Normal 6 2 42 4" xfId="24895"/>
    <cellStyle name="Normal 6 2 42 5" xfId="29856"/>
    <cellStyle name="Normal 6 2 42 6" xfId="34714"/>
    <cellStyle name="Normal 6 2 42 7" xfId="39445"/>
    <cellStyle name="Normal 6 2 43" xfId="7705"/>
    <cellStyle name="Normal 6 2 43 2" xfId="14785"/>
    <cellStyle name="Normal 6 2 43 3" xfId="19902"/>
    <cellStyle name="Normal 6 2 43 4" xfId="24945"/>
    <cellStyle name="Normal 6 2 43 5" xfId="29906"/>
    <cellStyle name="Normal 6 2 43 6" xfId="34764"/>
    <cellStyle name="Normal 6 2 43 7" xfId="39495"/>
    <cellStyle name="Normal 6 2 44" xfId="7584"/>
    <cellStyle name="Normal 6 2 44 2" xfId="14664"/>
    <cellStyle name="Normal 6 2 44 3" xfId="19781"/>
    <cellStyle name="Normal 6 2 44 4" xfId="24824"/>
    <cellStyle name="Normal 6 2 44 5" xfId="29785"/>
    <cellStyle name="Normal 6 2 44 6" xfId="34643"/>
    <cellStyle name="Normal 6 2 44 7" xfId="39374"/>
    <cellStyle name="Normal 6 2 45" xfId="7730"/>
    <cellStyle name="Normal 6 2 45 2" xfId="14810"/>
    <cellStyle name="Normal 6 2 45 3" xfId="19927"/>
    <cellStyle name="Normal 6 2 45 4" xfId="24970"/>
    <cellStyle name="Normal 6 2 45 5" xfId="29931"/>
    <cellStyle name="Normal 6 2 45 6" xfId="34789"/>
    <cellStyle name="Normal 6 2 45 7" xfId="39520"/>
    <cellStyle name="Normal 6 2 46" xfId="7483"/>
    <cellStyle name="Normal 6 2 46 2" xfId="14558"/>
    <cellStyle name="Normal 6 2 46 3" xfId="19675"/>
    <cellStyle name="Normal 6 2 46 4" xfId="24718"/>
    <cellStyle name="Normal 6 2 46 5" xfId="29679"/>
    <cellStyle name="Normal 6 2 46 6" xfId="34537"/>
    <cellStyle name="Normal 6 2 46 7" xfId="39268"/>
    <cellStyle name="Normal 6 2 47" xfId="7991"/>
    <cellStyle name="Normal 6 2 47 2" xfId="15071"/>
    <cellStyle name="Normal 6 2 47 3" xfId="20188"/>
    <cellStyle name="Normal 6 2 47 4" xfId="25231"/>
    <cellStyle name="Normal 6 2 47 5" xfId="30192"/>
    <cellStyle name="Normal 6 2 47 6" xfId="35050"/>
    <cellStyle name="Normal 6 2 47 7" xfId="39781"/>
    <cellStyle name="Normal 6 2 48" xfId="7579"/>
    <cellStyle name="Normal 6 2 48 2" xfId="14659"/>
    <cellStyle name="Normal 6 2 48 3" xfId="19776"/>
    <cellStyle name="Normal 6 2 48 4" xfId="24819"/>
    <cellStyle name="Normal 6 2 48 5" xfId="29780"/>
    <cellStyle name="Normal 6 2 48 6" xfId="34638"/>
    <cellStyle name="Normal 6 2 48 7" xfId="39369"/>
    <cellStyle name="Normal 6 2 49" xfId="8054"/>
    <cellStyle name="Normal 6 2 49 2" xfId="15134"/>
    <cellStyle name="Normal 6 2 49 3" xfId="20251"/>
    <cellStyle name="Normal 6 2 49 4" xfId="25294"/>
    <cellStyle name="Normal 6 2 49 5" xfId="30255"/>
    <cellStyle name="Normal 6 2 49 6" xfId="35113"/>
    <cellStyle name="Normal 6 2 49 7" xfId="39844"/>
    <cellStyle name="Normal 6 2 5" xfId="4352"/>
    <cellStyle name="Normal 6 2 5 2" xfId="6489"/>
    <cellStyle name="Normal 6 2 5 3" xfId="18599"/>
    <cellStyle name="Normal 6 2 5 4" xfId="23642"/>
    <cellStyle name="Normal 6 2 5 5" xfId="28603"/>
    <cellStyle name="Normal 6 2 5 6" xfId="33461"/>
    <cellStyle name="Normal 6 2 5 7" xfId="38192"/>
    <cellStyle name="Normal 6 2 50" xfId="8416"/>
    <cellStyle name="Normal 6 2 50 2" xfId="15497"/>
    <cellStyle name="Normal 6 2 50 3" xfId="20614"/>
    <cellStyle name="Normal 6 2 50 4" xfId="25657"/>
    <cellStyle name="Normal 6 2 50 5" xfId="30618"/>
    <cellStyle name="Normal 6 2 50 6" xfId="35476"/>
    <cellStyle name="Normal 6 2 50 7" xfId="40207"/>
    <cellStyle name="Normal 6 2 51" xfId="8883"/>
    <cellStyle name="Normal 6 2 51 2" xfId="15964"/>
    <cellStyle name="Normal 6 2 51 3" xfId="21081"/>
    <cellStyle name="Normal 6 2 51 4" xfId="26124"/>
    <cellStyle name="Normal 6 2 51 5" xfId="31085"/>
    <cellStyle name="Normal 6 2 51 6" xfId="35943"/>
    <cellStyle name="Normal 6 2 51 7" xfId="40674"/>
    <cellStyle name="Normal 6 2 52" xfId="8820"/>
    <cellStyle name="Normal 6 2 52 2" xfId="15901"/>
    <cellStyle name="Normal 6 2 52 3" xfId="21018"/>
    <cellStyle name="Normal 6 2 52 4" xfId="26061"/>
    <cellStyle name="Normal 6 2 52 5" xfId="31022"/>
    <cellStyle name="Normal 6 2 52 6" xfId="35880"/>
    <cellStyle name="Normal 6 2 52 7" xfId="40611"/>
    <cellStyle name="Normal 6 2 53" xfId="8672"/>
    <cellStyle name="Normal 6 2 53 2" xfId="15753"/>
    <cellStyle name="Normal 6 2 53 3" xfId="20870"/>
    <cellStyle name="Normal 6 2 53 4" xfId="25913"/>
    <cellStyle name="Normal 6 2 53 5" xfId="30874"/>
    <cellStyle name="Normal 6 2 53 6" xfId="35732"/>
    <cellStyle name="Normal 6 2 53 7" xfId="40463"/>
    <cellStyle name="Normal 6 2 54" xfId="8400"/>
    <cellStyle name="Normal 6 2 54 2" xfId="15481"/>
    <cellStyle name="Normal 6 2 54 3" xfId="20598"/>
    <cellStyle name="Normal 6 2 54 4" xfId="25641"/>
    <cellStyle name="Normal 6 2 54 5" xfId="30602"/>
    <cellStyle name="Normal 6 2 54 6" xfId="35460"/>
    <cellStyle name="Normal 6 2 54 7" xfId="40191"/>
    <cellStyle name="Normal 6 2 55" xfId="8485"/>
    <cellStyle name="Normal 6 2 55 2" xfId="15566"/>
    <cellStyle name="Normal 6 2 55 3" xfId="20683"/>
    <cellStyle name="Normal 6 2 55 4" xfId="25726"/>
    <cellStyle name="Normal 6 2 55 5" xfId="30687"/>
    <cellStyle name="Normal 6 2 55 6" xfId="35545"/>
    <cellStyle name="Normal 6 2 55 7" xfId="40276"/>
    <cellStyle name="Normal 6 2 56" xfId="8430"/>
    <cellStyle name="Normal 6 2 56 2" xfId="15511"/>
    <cellStyle name="Normal 6 2 56 3" xfId="20628"/>
    <cellStyle name="Normal 6 2 56 4" xfId="25671"/>
    <cellStyle name="Normal 6 2 56 5" xfId="30632"/>
    <cellStyle name="Normal 6 2 56 6" xfId="35490"/>
    <cellStyle name="Normal 6 2 56 7" xfId="40221"/>
    <cellStyle name="Normal 6 2 57" xfId="8772"/>
    <cellStyle name="Normal 6 2 57 2" xfId="15853"/>
    <cellStyle name="Normal 6 2 57 3" xfId="20970"/>
    <cellStyle name="Normal 6 2 57 4" xfId="26013"/>
    <cellStyle name="Normal 6 2 57 5" xfId="30974"/>
    <cellStyle name="Normal 6 2 57 6" xfId="35832"/>
    <cellStyle name="Normal 6 2 57 7" xfId="40563"/>
    <cellStyle name="Normal 6 2 58" xfId="8471"/>
    <cellStyle name="Normal 6 2 58 2" xfId="15552"/>
    <cellStyle name="Normal 6 2 58 3" xfId="20669"/>
    <cellStyle name="Normal 6 2 58 4" xfId="25712"/>
    <cellStyle name="Normal 6 2 58 5" xfId="30673"/>
    <cellStyle name="Normal 6 2 58 6" xfId="35531"/>
    <cellStyle name="Normal 6 2 58 7" xfId="40262"/>
    <cellStyle name="Normal 6 2 59" xfId="8490"/>
    <cellStyle name="Normal 6 2 59 2" xfId="15571"/>
    <cellStyle name="Normal 6 2 59 3" xfId="20688"/>
    <cellStyle name="Normal 6 2 59 4" xfId="25731"/>
    <cellStyle name="Normal 6 2 59 5" xfId="30692"/>
    <cellStyle name="Normal 6 2 59 6" xfId="35550"/>
    <cellStyle name="Normal 6 2 59 7" xfId="40281"/>
    <cellStyle name="Normal 6 2 6" xfId="4220"/>
    <cellStyle name="Normal 6 2 6 2" xfId="6411"/>
    <cellStyle name="Normal 6 2 6 3" xfId="18521"/>
    <cellStyle name="Normal 6 2 6 4" xfId="23564"/>
    <cellStyle name="Normal 6 2 6 5" xfId="28525"/>
    <cellStyle name="Normal 6 2 6 6" xfId="33383"/>
    <cellStyle name="Normal 6 2 6 7" xfId="38114"/>
    <cellStyle name="Normal 6 2 60" xfId="8267"/>
    <cellStyle name="Normal 6 2 60 2" xfId="15348"/>
    <cellStyle name="Normal 6 2 60 3" xfId="20465"/>
    <cellStyle name="Normal 6 2 60 4" xfId="25508"/>
    <cellStyle name="Normal 6 2 60 5" xfId="30469"/>
    <cellStyle name="Normal 6 2 60 6" xfId="35327"/>
    <cellStyle name="Normal 6 2 60 7" xfId="40058"/>
    <cellStyle name="Normal 6 2 61" xfId="8669"/>
    <cellStyle name="Normal 6 2 61 2" xfId="15750"/>
    <cellStyle name="Normal 6 2 61 3" xfId="20867"/>
    <cellStyle name="Normal 6 2 61 4" xfId="25910"/>
    <cellStyle name="Normal 6 2 61 5" xfId="30871"/>
    <cellStyle name="Normal 6 2 61 6" xfId="35729"/>
    <cellStyle name="Normal 6 2 61 7" xfId="40460"/>
    <cellStyle name="Normal 6 2 62" xfId="8809"/>
    <cellStyle name="Normal 6 2 62 2" xfId="15890"/>
    <cellStyle name="Normal 6 2 62 3" xfId="21007"/>
    <cellStyle name="Normal 6 2 62 4" xfId="26050"/>
    <cellStyle name="Normal 6 2 62 5" xfId="31011"/>
    <cellStyle name="Normal 6 2 62 6" xfId="35869"/>
    <cellStyle name="Normal 6 2 62 7" xfId="40600"/>
    <cellStyle name="Normal 6 2 63" xfId="8446"/>
    <cellStyle name="Normal 6 2 63 2" xfId="15527"/>
    <cellStyle name="Normal 6 2 63 3" xfId="20644"/>
    <cellStyle name="Normal 6 2 63 4" xfId="25687"/>
    <cellStyle name="Normal 6 2 63 5" xfId="30648"/>
    <cellStyle name="Normal 6 2 63 6" xfId="35506"/>
    <cellStyle name="Normal 6 2 63 7" xfId="40237"/>
    <cellStyle name="Normal 6 2 64" xfId="8588"/>
    <cellStyle name="Normal 6 2 64 2" xfId="15669"/>
    <cellStyle name="Normal 6 2 64 3" xfId="20786"/>
    <cellStyle name="Normal 6 2 64 4" xfId="25829"/>
    <cellStyle name="Normal 6 2 64 5" xfId="30790"/>
    <cellStyle name="Normal 6 2 64 6" xfId="35648"/>
    <cellStyle name="Normal 6 2 64 7" xfId="40379"/>
    <cellStyle name="Normal 6 2 65" xfId="9216"/>
    <cellStyle name="Normal 6 2 65 2" xfId="16297"/>
    <cellStyle name="Normal 6 2 65 3" xfId="21414"/>
    <cellStyle name="Normal 6 2 65 4" xfId="26457"/>
    <cellStyle name="Normal 6 2 65 5" xfId="31418"/>
    <cellStyle name="Normal 6 2 65 6" xfId="36276"/>
    <cellStyle name="Normal 6 2 65 7" xfId="41007"/>
    <cellStyle name="Normal 6 2 66" xfId="9599"/>
    <cellStyle name="Normal 6 2 66 2" xfId="16680"/>
    <cellStyle name="Normal 6 2 66 3" xfId="21797"/>
    <cellStyle name="Normal 6 2 66 4" xfId="26840"/>
    <cellStyle name="Normal 6 2 66 5" xfId="31801"/>
    <cellStyle name="Normal 6 2 66 6" xfId="36659"/>
    <cellStyle name="Normal 6 2 66 7" xfId="41390"/>
    <cellStyle name="Normal 6 2 67" xfId="9543"/>
    <cellStyle name="Normal 6 2 67 2" xfId="16624"/>
    <cellStyle name="Normal 6 2 67 3" xfId="21741"/>
    <cellStyle name="Normal 6 2 67 4" xfId="26784"/>
    <cellStyle name="Normal 6 2 67 5" xfId="31745"/>
    <cellStyle name="Normal 6 2 67 6" xfId="36603"/>
    <cellStyle name="Normal 6 2 67 7" xfId="41334"/>
    <cellStyle name="Normal 6 2 68" xfId="9423"/>
    <cellStyle name="Normal 6 2 68 2" xfId="16504"/>
    <cellStyle name="Normal 6 2 68 3" xfId="21621"/>
    <cellStyle name="Normal 6 2 68 4" xfId="26664"/>
    <cellStyle name="Normal 6 2 68 5" xfId="31625"/>
    <cellStyle name="Normal 6 2 68 6" xfId="36483"/>
    <cellStyle name="Normal 6 2 68 7" xfId="41214"/>
    <cellStyle name="Normal 6 2 69" xfId="9201"/>
    <cellStyle name="Normal 6 2 69 2" xfId="16282"/>
    <cellStyle name="Normal 6 2 69 3" xfId="21399"/>
    <cellStyle name="Normal 6 2 69 4" xfId="26442"/>
    <cellStyle name="Normal 6 2 69 5" xfId="31403"/>
    <cellStyle name="Normal 6 2 69 6" xfId="36261"/>
    <cellStyle name="Normal 6 2 69 7" xfId="40992"/>
    <cellStyle name="Normal 6 2 7" xfId="4384"/>
    <cellStyle name="Normal 6 2 7 2" xfId="6250"/>
    <cellStyle name="Normal 6 2 7 3" xfId="18354"/>
    <cellStyle name="Normal 6 2 7 4" xfId="23397"/>
    <cellStyle name="Normal 6 2 7 5" xfId="28358"/>
    <cellStyle name="Normal 6 2 7 6" xfId="33216"/>
    <cellStyle name="Normal 6 2 7 7" xfId="37947"/>
    <cellStyle name="Normal 6 2 70" xfId="9265"/>
    <cellStyle name="Normal 6 2 70 2" xfId="16346"/>
    <cellStyle name="Normal 6 2 70 3" xfId="21463"/>
    <cellStyle name="Normal 6 2 70 4" xfId="26506"/>
    <cellStyle name="Normal 6 2 70 5" xfId="31467"/>
    <cellStyle name="Normal 6 2 70 6" xfId="36325"/>
    <cellStyle name="Normal 6 2 70 7" xfId="41056"/>
    <cellStyle name="Normal 6 2 71" xfId="9227"/>
    <cellStyle name="Normal 6 2 71 2" xfId="16308"/>
    <cellStyle name="Normal 6 2 71 3" xfId="21425"/>
    <cellStyle name="Normal 6 2 71 4" xfId="26468"/>
    <cellStyle name="Normal 6 2 71 5" xfId="31429"/>
    <cellStyle name="Normal 6 2 71 6" xfId="36287"/>
    <cellStyle name="Normal 6 2 71 7" xfId="41018"/>
    <cellStyle name="Normal 6 2 72" xfId="9269"/>
    <cellStyle name="Normal 6 2 72 2" xfId="16350"/>
    <cellStyle name="Normal 6 2 72 3" xfId="21467"/>
    <cellStyle name="Normal 6 2 72 4" xfId="26510"/>
    <cellStyle name="Normal 6 2 72 5" xfId="31471"/>
    <cellStyle name="Normal 6 2 72 6" xfId="36329"/>
    <cellStyle name="Normal 6 2 72 7" xfId="41060"/>
    <cellStyle name="Normal 6 2 73" xfId="9164"/>
    <cellStyle name="Normal 6 2 73 2" xfId="16245"/>
    <cellStyle name="Normal 6 2 73 3" xfId="21362"/>
    <cellStyle name="Normal 6 2 73 4" xfId="26405"/>
    <cellStyle name="Normal 6 2 73 5" xfId="31366"/>
    <cellStyle name="Normal 6 2 73 6" xfId="36224"/>
    <cellStyle name="Normal 6 2 73 7" xfId="40955"/>
    <cellStyle name="Normal 6 2 74" xfId="9293"/>
    <cellStyle name="Normal 6 2 74 2" xfId="16374"/>
    <cellStyle name="Normal 6 2 74 3" xfId="21491"/>
    <cellStyle name="Normal 6 2 74 4" xfId="26534"/>
    <cellStyle name="Normal 6 2 74 5" xfId="31495"/>
    <cellStyle name="Normal 6 2 74 6" xfId="36353"/>
    <cellStyle name="Normal 6 2 74 7" xfId="41084"/>
    <cellStyle name="Normal 6 2 75" xfId="9075"/>
    <cellStyle name="Normal 6 2 75 2" xfId="16156"/>
    <cellStyle name="Normal 6 2 75 3" xfId="21273"/>
    <cellStyle name="Normal 6 2 75 4" xfId="26316"/>
    <cellStyle name="Normal 6 2 75 5" xfId="31277"/>
    <cellStyle name="Normal 6 2 75 6" xfId="36135"/>
    <cellStyle name="Normal 6 2 75 7" xfId="40866"/>
    <cellStyle name="Normal 6 2 76" xfId="9519"/>
    <cellStyle name="Normal 6 2 76 2" xfId="16600"/>
    <cellStyle name="Normal 6 2 76 3" xfId="21717"/>
    <cellStyle name="Normal 6 2 76 4" xfId="26760"/>
    <cellStyle name="Normal 6 2 76 5" xfId="31721"/>
    <cellStyle name="Normal 6 2 76 6" xfId="36579"/>
    <cellStyle name="Normal 6 2 76 7" xfId="41310"/>
    <cellStyle name="Normal 6 2 77" xfId="9793"/>
    <cellStyle name="Normal 6 2 77 2" xfId="16874"/>
    <cellStyle name="Normal 6 2 77 3" xfId="21991"/>
    <cellStyle name="Normal 6 2 77 4" xfId="27034"/>
    <cellStyle name="Normal 6 2 77 5" xfId="31995"/>
    <cellStyle name="Normal 6 2 77 6" xfId="36853"/>
    <cellStyle name="Normal 6 2 77 7" xfId="41584"/>
    <cellStyle name="Normal 6 2 78" xfId="9995"/>
    <cellStyle name="Normal 6 2 78 2" xfId="17076"/>
    <cellStyle name="Normal 6 2 78 3" xfId="22193"/>
    <cellStyle name="Normal 6 2 78 4" xfId="27236"/>
    <cellStyle name="Normal 6 2 78 5" xfId="32197"/>
    <cellStyle name="Normal 6 2 78 6" xfId="37055"/>
    <cellStyle name="Normal 6 2 78 7" xfId="41786"/>
    <cellStyle name="Normal 6 2 79" xfId="9969"/>
    <cellStyle name="Normal 6 2 79 2" xfId="17050"/>
    <cellStyle name="Normal 6 2 79 3" xfId="22167"/>
    <cellStyle name="Normal 6 2 79 4" xfId="27210"/>
    <cellStyle name="Normal 6 2 79 5" xfId="32171"/>
    <cellStyle name="Normal 6 2 79 6" xfId="37029"/>
    <cellStyle name="Normal 6 2 79 7" xfId="41760"/>
    <cellStyle name="Normal 6 2 8" xfId="4440"/>
    <cellStyle name="Normal 6 2 8 2" xfId="5975"/>
    <cellStyle name="Normal 6 2 8 3" xfId="18077"/>
    <cellStyle name="Normal 6 2 8 4" xfId="23120"/>
    <cellStyle name="Normal 6 2 8 5" xfId="28081"/>
    <cellStyle name="Normal 6 2 8 6" xfId="32939"/>
    <cellStyle name="Normal 6 2 8 7" xfId="37670"/>
    <cellStyle name="Normal 6 2 80" xfId="9909"/>
    <cellStyle name="Normal 6 2 80 2" xfId="16990"/>
    <cellStyle name="Normal 6 2 80 3" xfId="22107"/>
    <cellStyle name="Normal 6 2 80 4" xfId="27150"/>
    <cellStyle name="Normal 6 2 80 5" xfId="32111"/>
    <cellStyle name="Normal 6 2 80 6" xfId="36969"/>
    <cellStyle name="Normal 6 2 80 7" xfId="41700"/>
    <cellStyle name="Normal 6 2 81" xfId="9785"/>
    <cellStyle name="Normal 6 2 81 2" xfId="16866"/>
    <cellStyle name="Normal 6 2 81 3" xfId="21983"/>
    <cellStyle name="Normal 6 2 81 4" xfId="27026"/>
    <cellStyle name="Normal 6 2 81 5" xfId="31987"/>
    <cellStyle name="Normal 6 2 81 6" xfId="36845"/>
    <cellStyle name="Normal 6 2 81 7" xfId="41576"/>
    <cellStyle name="Normal 6 2 82" xfId="9819"/>
    <cellStyle name="Normal 6 2 82 2" xfId="16900"/>
    <cellStyle name="Normal 6 2 82 3" xfId="22017"/>
    <cellStyle name="Normal 6 2 82 4" xfId="27060"/>
    <cellStyle name="Normal 6 2 82 5" xfId="32021"/>
    <cellStyle name="Normal 6 2 82 6" xfId="36879"/>
    <cellStyle name="Normal 6 2 82 7" xfId="41610"/>
    <cellStyle name="Normal 6 2 83" xfId="10123"/>
    <cellStyle name="Normal 6 2 83 2" xfId="17204"/>
    <cellStyle name="Normal 6 2 83 3" xfId="22321"/>
    <cellStyle name="Normal 6 2 83 4" xfId="27364"/>
    <cellStyle name="Normal 6 2 83 5" xfId="32325"/>
    <cellStyle name="Normal 6 2 83 6" xfId="37183"/>
    <cellStyle name="Normal 6 2 83 7" xfId="41914"/>
    <cellStyle name="Normal 6 2 84" xfId="10325"/>
    <cellStyle name="Normal 6 2 84 2" xfId="17406"/>
    <cellStyle name="Normal 6 2 84 3" xfId="22523"/>
    <cellStyle name="Normal 6 2 84 4" xfId="27566"/>
    <cellStyle name="Normal 6 2 84 5" xfId="32527"/>
    <cellStyle name="Normal 6 2 84 6" xfId="37385"/>
    <cellStyle name="Normal 6 2 84 7" xfId="42116"/>
    <cellStyle name="Normal 6 2 85" xfId="10299"/>
    <cellStyle name="Normal 6 2 85 2" xfId="17380"/>
    <cellStyle name="Normal 6 2 85 3" xfId="22497"/>
    <cellStyle name="Normal 6 2 85 4" xfId="27540"/>
    <cellStyle name="Normal 6 2 85 5" xfId="32501"/>
    <cellStyle name="Normal 6 2 85 6" xfId="37359"/>
    <cellStyle name="Normal 6 2 85 7" xfId="42090"/>
    <cellStyle name="Normal 6 2 86" xfId="10239"/>
    <cellStyle name="Normal 6 2 86 2" xfId="17320"/>
    <cellStyle name="Normal 6 2 86 3" xfId="22437"/>
    <cellStyle name="Normal 6 2 86 4" xfId="27480"/>
    <cellStyle name="Normal 6 2 86 5" xfId="32441"/>
    <cellStyle name="Normal 6 2 86 6" xfId="37299"/>
    <cellStyle name="Normal 6 2 86 7" xfId="42030"/>
    <cellStyle name="Normal 6 2 87" xfId="10115"/>
    <cellStyle name="Normal 6 2 87 2" xfId="17196"/>
    <cellStyle name="Normal 6 2 87 3" xfId="22313"/>
    <cellStyle name="Normal 6 2 87 4" xfId="27356"/>
    <cellStyle name="Normal 6 2 87 5" xfId="32317"/>
    <cellStyle name="Normal 6 2 87 6" xfId="37175"/>
    <cellStyle name="Normal 6 2 87 7" xfId="41906"/>
    <cellStyle name="Normal 6 2 88" xfId="10149"/>
    <cellStyle name="Normal 6 2 88 2" xfId="17230"/>
    <cellStyle name="Normal 6 2 88 3" xfId="22347"/>
    <cellStyle name="Normal 6 2 88 4" xfId="27390"/>
    <cellStyle name="Normal 6 2 88 5" xfId="32351"/>
    <cellStyle name="Normal 6 2 88 6" xfId="37209"/>
    <cellStyle name="Normal 6 2 88 7" xfId="41940"/>
    <cellStyle name="Normal 6 2 89" xfId="12222"/>
    <cellStyle name="Normal 6 2 9" xfId="4524"/>
    <cellStyle name="Normal 6 2 9 2" xfId="6055"/>
    <cellStyle name="Normal 6 2 9 3" xfId="18159"/>
    <cellStyle name="Normal 6 2 9 4" xfId="23202"/>
    <cellStyle name="Normal 6 2 9 5" xfId="28163"/>
    <cellStyle name="Normal 6 2 9 6" xfId="33021"/>
    <cellStyle name="Normal 6 2 9 7" xfId="37752"/>
    <cellStyle name="Normal 6 2 90" xfId="12340"/>
    <cellStyle name="Normal 6 2 91" xfId="14003"/>
    <cellStyle name="Normal 6 2 92" xfId="17723"/>
    <cellStyle name="Normal 6 2 93" xfId="22795"/>
    <cellStyle name="Normal 6 2 94" xfId="27791"/>
    <cellStyle name="Normal 6 3" xfId="1305"/>
    <cellStyle name="Normal 6 3 10" xfId="4631"/>
    <cellStyle name="Normal 6 3 10 2" xfId="6038"/>
    <cellStyle name="Normal 6 3 10 3" xfId="18142"/>
    <cellStyle name="Normal 6 3 10 4" xfId="23185"/>
    <cellStyle name="Normal 6 3 10 5" xfId="28146"/>
    <cellStyle name="Normal 6 3 10 6" xfId="33004"/>
    <cellStyle name="Normal 6 3 10 7" xfId="37735"/>
    <cellStyle name="Normal 6 3 11" xfId="4627"/>
    <cellStyle name="Normal 6 3 11 2" xfId="6070"/>
    <cellStyle name="Normal 6 3 11 3" xfId="18174"/>
    <cellStyle name="Normal 6 3 11 4" xfId="23217"/>
    <cellStyle name="Normal 6 3 11 5" xfId="28178"/>
    <cellStyle name="Normal 6 3 11 6" xfId="33036"/>
    <cellStyle name="Normal 6 3 11 7" xfId="37767"/>
    <cellStyle name="Normal 6 3 12" xfId="4672"/>
    <cellStyle name="Normal 6 3 12 2" xfId="6065"/>
    <cellStyle name="Normal 6 3 12 3" xfId="18169"/>
    <cellStyle name="Normal 6 3 12 4" xfId="23212"/>
    <cellStyle name="Normal 6 3 12 5" xfId="28173"/>
    <cellStyle name="Normal 6 3 12 6" xfId="33031"/>
    <cellStyle name="Normal 6 3 12 7" xfId="37762"/>
    <cellStyle name="Normal 6 3 13" xfId="4792"/>
    <cellStyle name="Normal 6 3 13 2" xfId="5808"/>
    <cellStyle name="Normal 6 3 13 3" xfId="17905"/>
    <cellStyle name="Normal 6 3 13 4" xfId="22948"/>
    <cellStyle name="Normal 6 3 13 5" xfId="27909"/>
    <cellStyle name="Normal 6 3 13 6" xfId="32767"/>
    <cellStyle name="Normal 6 3 13 7" xfId="37498"/>
    <cellStyle name="Normal 6 3 14" xfId="4923"/>
    <cellStyle name="Normal 6 3 14 2" xfId="6092"/>
    <cellStyle name="Normal 6 3 14 3" xfId="18196"/>
    <cellStyle name="Normal 6 3 14 4" xfId="23239"/>
    <cellStyle name="Normal 6 3 14 5" xfId="28200"/>
    <cellStyle name="Normal 6 3 14 6" xfId="33058"/>
    <cellStyle name="Normal 6 3 14 7" xfId="37789"/>
    <cellStyle name="Normal 6 3 15" xfId="4842"/>
    <cellStyle name="Normal 6 3 15 2" xfId="6453"/>
    <cellStyle name="Normal 6 3 15 3" xfId="18563"/>
    <cellStyle name="Normal 6 3 15 4" xfId="23606"/>
    <cellStyle name="Normal 6 3 15 5" xfId="28567"/>
    <cellStyle name="Normal 6 3 15 6" xfId="33425"/>
    <cellStyle name="Normal 6 3 15 7" xfId="38156"/>
    <cellStyle name="Normal 6 3 16" xfId="4919"/>
    <cellStyle name="Normal 6 3 16 2" xfId="6010"/>
    <cellStyle name="Normal 6 3 16 3" xfId="18113"/>
    <cellStyle name="Normal 6 3 16 4" xfId="23156"/>
    <cellStyle name="Normal 6 3 16 5" xfId="28117"/>
    <cellStyle name="Normal 6 3 16 6" xfId="32975"/>
    <cellStyle name="Normal 6 3 16 7" xfId="37706"/>
    <cellStyle name="Normal 6 3 17" xfId="5009"/>
    <cellStyle name="Normal 6 3 17 2" xfId="6367"/>
    <cellStyle name="Normal 6 3 17 3" xfId="18476"/>
    <cellStyle name="Normal 6 3 17 4" xfId="23519"/>
    <cellStyle name="Normal 6 3 17 5" xfId="28480"/>
    <cellStyle name="Normal 6 3 17 6" xfId="33338"/>
    <cellStyle name="Normal 6 3 17 7" xfId="38069"/>
    <cellStyle name="Normal 6 3 18" xfId="5141"/>
    <cellStyle name="Normal 6 3 18 2" xfId="6176"/>
    <cellStyle name="Normal 6 3 18 3" xfId="18280"/>
    <cellStyle name="Normal 6 3 18 4" xfId="23323"/>
    <cellStyle name="Normal 6 3 18 5" xfId="28284"/>
    <cellStyle name="Normal 6 3 18 6" xfId="33142"/>
    <cellStyle name="Normal 6 3 18 7" xfId="37873"/>
    <cellStyle name="Normal 6 3 19" xfId="5098"/>
    <cellStyle name="Normal 6 3 19 2" xfId="6125"/>
    <cellStyle name="Normal 6 3 19 3" xfId="18229"/>
    <cellStyle name="Normal 6 3 19 4" xfId="23272"/>
    <cellStyle name="Normal 6 3 19 5" xfId="28233"/>
    <cellStyle name="Normal 6 3 19 6" xfId="33091"/>
    <cellStyle name="Normal 6 3 19 7" xfId="37822"/>
    <cellStyle name="Normal 6 3 2" xfId="2483"/>
    <cellStyle name="Normal 6 3 2 10" xfId="4694"/>
    <cellStyle name="Normal 6 3 2 10 2" xfId="6573"/>
    <cellStyle name="Normal 6 3 2 10 3" xfId="18691"/>
    <cellStyle name="Normal 6 3 2 10 4" xfId="23734"/>
    <cellStyle name="Normal 6 3 2 10 5" xfId="28695"/>
    <cellStyle name="Normal 6 3 2 10 6" xfId="33553"/>
    <cellStyle name="Normal 6 3 2 10 7" xfId="38284"/>
    <cellStyle name="Normal 6 3 2 11" xfId="4850"/>
    <cellStyle name="Normal 6 3 2 11 2" xfId="6584"/>
    <cellStyle name="Normal 6 3 2 11 3" xfId="18702"/>
    <cellStyle name="Normal 6 3 2 11 4" xfId="23745"/>
    <cellStyle name="Normal 6 3 2 11 5" xfId="28706"/>
    <cellStyle name="Normal 6 3 2 11 6" xfId="33564"/>
    <cellStyle name="Normal 6 3 2 11 7" xfId="38295"/>
    <cellStyle name="Normal 6 3 2 12" xfId="4915"/>
    <cellStyle name="Normal 6 3 2 12 2" xfId="6594"/>
    <cellStyle name="Normal 6 3 2 12 3" xfId="18712"/>
    <cellStyle name="Normal 6 3 2 12 4" xfId="23755"/>
    <cellStyle name="Normal 6 3 2 12 5" xfId="28716"/>
    <cellStyle name="Normal 6 3 2 12 6" xfId="33574"/>
    <cellStyle name="Normal 6 3 2 12 7" xfId="38305"/>
    <cellStyle name="Normal 6 3 2 13" xfId="4936"/>
    <cellStyle name="Normal 6 3 2 13 2" xfId="6604"/>
    <cellStyle name="Normal 6 3 2 13 3" xfId="18722"/>
    <cellStyle name="Normal 6 3 2 13 4" xfId="23765"/>
    <cellStyle name="Normal 6 3 2 13 5" xfId="28726"/>
    <cellStyle name="Normal 6 3 2 13 6" xfId="33584"/>
    <cellStyle name="Normal 6 3 2 13 7" xfId="38315"/>
    <cellStyle name="Normal 6 3 2 14" xfId="4946"/>
    <cellStyle name="Normal 6 3 2 14 2" xfId="6614"/>
    <cellStyle name="Normal 6 3 2 14 3" xfId="18732"/>
    <cellStyle name="Normal 6 3 2 14 4" xfId="23775"/>
    <cellStyle name="Normal 6 3 2 14 5" xfId="28736"/>
    <cellStyle name="Normal 6 3 2 14 6" xfId="33594"/>
    <cellStyle name="Normal 6 3 2 14 7" xfId="38325"/>
    <cellStyle name="Normal 6 3 2 15" xfId="5075"/>
    <cellStyle name="Normal 6 3 2 15 2" xfId="6624"/>
    <cellStyle name="Normal 6 3 2 15 3" xfId="18742"/>
    <cellStyle name="Normal 6 3 2 15 4" xfId="23785"/>
    <cellStyle name="Normal 6 3 2 15 5" xfId="28746"/>
    <cellStyle name="Normal 6 3 2 15 6" xfId="33604"/>
    <cellStyle name="Normal 6 3 2 15 7" xfId="38335"/>
    <cellStyle name="Normal 6 3 2 16" xfId="5132"/>
    <cellStyle name="Normal 6 3 2 16 2" xfId="6634"/>
    <cellStyle name="Normal 6 3 2 16 3" xfId="18752"/>
    <cellStyle name="Normal 6 3 2 16 4" xfId="23795"/>
    <cellStyle name="Normal 6 3 2 16 5" xfId="28756"/>
    <cellStyle name="Normal 6 3 2 16 6" xfId="33614"/>
    <cellStyle name="Normal 6 3 2 16 7" xfId="38345"/>
    <cellStyle name="Normal 6 3 2 17" xfId="5019"/>
    <cellStyle name="Normal 6 3 2 17 2" xfId="6644"/>
    <cellStyle name="Normal 6 3 2 17 3" xfId="18762"/>
    <cellStyle name="Normal 6 3 2 17 4" xfId="23805"/>
    <cellStyle name="Normal 6 3 2 17 5" xfId="28766"/>
    <cellStyle name="Normal 6 3 2 17 6" xfId="33624"/>
    <cellStyle name="Normal 6 3 2 17 7" xfId="38355"/>
    <cellStyle name="Normal 6 3 2 18" xfId="5166"/>
    <cellStyle name="Normal 6 3 2 18 2" xfId="6770"/>
    <cellStyle name="Normal 6 3 2 18 3" xfId="18891"/>
    <cellStyle name="Normal 6 3 2 18 4" xfId="23934"/>
    <cellStyle name="Normal 6 3 2 18 5" xfId="28895"/>
    <cellStyle name="Normal 6 3 2 18 6" xfId="33753"/>
    <cellStyle name="Normal 6 3 2 18 7" xfId="38484"/>
    <cellStyle name="Normal 6 3 2 19" xfId="5428"/>
    <cellStyle name="Normal 6 3 2 19 2" xfId="6831"/>
    <cellStyle name="Normal 6 3 2 19 3" xfId="18952"/>
    <cellStyle name="Normal 6 3 2 19 4" xfId="23995"/>
    <cellStyle name="Normal 6 3 2 19 5" xfId="28956"/>
    <cellStyle name="Normal 6 3 2 19 6" xfId="33814"/>
    <cellStyle name="Normal 6 3 2 19 7" xfId="38545"/>
    <cellStyle name="Normal 6 3 2 2" xfId="4294"/>
    <cellStyle name="Normal 6 3 2 2 2" xfId="6207"/>
    <cellStyle name="Normal 6 3 2 2 3" xfId="18311"/>
    <cellStyle name="Normal 6 3 2 2 4" xfId="23354"/>
    <cellStyle name="Normal 6 3 2 2 5" xfId="28315"/>
    <cellStyle name="Normal 6 3 2 2 6" xfId="33173"/>
    <cellStyle name="Normal 6 3 2 2 7" xfId="37904"/>
    <cellStyle name="Normal 6 3 2 20" xfId="5569"/>
    <cellStyle name="Normal 6 3 2 20 2" xfId="6852"/>
    <cellStyle name="Normal 6 3 2 20 3" xfId="18973"/>
    <cellStyle name="Normal 6 3 2 20 4" xfId="24016"/>
    <cellStyle name="Normal 6 3 2 20 5" xfId="28977"/>
    <cellStyle name="Normal 6 3 2 20 6" xfId="33835"/>
    <cellStyle name="Normal 6 3 2 20 7" xfId="38566"/>
    <cellStyle name="Normal 6 3 2 21" xfId="5607"/>
    <cellStyle name="Normal 6 3 2 21 2" xfId="6862"/>
    <cellStyle name="Normal 6 3 2 21 3" xfId="18983"/>
    <cellStyle name="Normal 6 3 2 21 4" xfId="24026"/>
    <cellStyle name="Normal 6 3 2 21 5" xfId="28987"/>
    <cellStyle name="Normal 6 3 2 21 6" xfId="33845"/>
    <cellStyle name="Normal 6 3 2 21 7" xfId="38576"/>
    <cellStyle name="Normal 6 3 2 22" xfId="5618"/>
    <cellStyle name="Normal 6 3 2 22 2" xfId="7173"/>
    <cellStyle name="Normal 6 3 2 22 3" xfId="19328"/>
    <cellStyle name="Normal 6 3 2 22 4" xfId="24371"/>
    <cellStyle name="Normal 6 3 2 22 5" xfId="29332"/>
    <cellStyle name="Normal 6 3 2 22 6" xfId="34190"/>
    <cellStyle name="Normal 6 3 2 22 7" xfId="38921"/>
    <cellStyle name="Normal 6 3 2 23" xfId="5628"/>
    <cellStyle name="Normal 6 3 2 23 2" xfId="7329"/>
    <cellStyle name="Normal 6 3 2 23 3" xfId="19501"/>
    <cellStyle name="Normal 6 3 2 23 4" xfId="24544"/>
    <cellStyle name="Normal 6 3 2 23 5" xfId="29505"/>
    <cellStyle name="Normal 6 3 2 23 6" xfId="34363"/>
    <cellStyle name="Normal 6 3 2 23 7" xfId="39094"/>
    <cellStyle name="Normal 6 3 2 24" xfId="5638"/>
    <cellStyle name="Normal 6 3 2 24 2" xfId="7376"/>
    <cellStyle name="Normal 6 3 2 24 3" xfId="19549"/>
    <cellStyle name="Normal 6 3 2 24 4" xfId="24592"/>
    <cellStyle name="Normal 6 3 2 24 5" xfId="29553"/>
    <cellStyle name="Normal 6 3 2 24 6" xfId="34411"/>
    <cellStyle name="Normal 6 3 2 24 7" xfId="39142"/>
    <cellStyle name="Normal 6 3 2 25" xfId="5648"/>
    <cellStyle name="Normal 6 3 2 25 2" xfId="7388"/>
    <cellStyle name="Normal 6 3 2 25 3" xfId="19561"/>
    <cellStyle name="Normal 6 3 2 25 4" xfId="24604"/>
    <cellStyle name="Normal 6 3 2 25 5" xfId="29565"/>
    <cellStyle name="Normal 6 3 2 25 6" xfId="34423"/>
    <cellStyle name="Normal 6 3 2 25 7" xfId="39154"/>
    <cellStyle name="Normal 6 3 2 26" xfId="5658"/>
    <cellStyle name="Normal 6 3 2 26 2" xfId="7400"/>
    <cellStyle name="Normal 6 3 2 26 3" xfId="19573"/>
    <cellStyle name="Normal 6 3 2 26 4" xfId="24616"/>
    <cellStyle name="Normal 6 3 2 26 5" xfId="29577"/>
    <cellStyle name="Normal 6 3 2 26 6" xfId="34435"/>
    <cellStyle name="Normal 6 3 2 26 7" xfId="39166"/>
    <cellStyle name="Normal 6 3 2 27" xfId="5668"/>
    <cellStyle name="Normal 6 3 2 27 2" xfId="7411"/>
    <cellStyle name="Normal 6 3 2 27 3" xfId="19584"/>
    <cellStyle name="Normal 6 3 2 27 4" xfId="24627"/>
    <cellStyle name="Normal 6 3 2 27 5" xfId="29588"/>
    <cellStyle name="Normal 6 3 2 27 6" xfId="34446"/>
    <cellStyle name="Normal 6 3 2 27 7" xfId="39177"/>
    <cellStyle name="Normal 6 3 2 28" xfId="5780"/>
    <cellStyle name="Normal 6 3 2 28 2" xfId="14485"/>
    <cellStyle name="Normal 6 3 2 28 3" xfId="19594"/>
    <cellStyle name="Normal 6 3 2 28 4" xfId="24637"/>
    <cellStyle name="Normal 6 3 2 28 5" xfId="29598"/>
    <cellStyle name="Normal 6 3 2 28 6" xfId="34456"/>
    <cellStyle name="Normal 6 3 2 28 7" xfId="39187"/>
    <cellStyle name="Normal 6 3 2 29" xfId="7429"/>
    <cellStyle name="Normal 6 3 2 29 2" xfId="14487"/>
    <cellStyle name="Normal 6 3 2 29 3" xfId="19604"/>
    <cellStyle name="Normal 6 3 2 29 4" xfId="24647"/>
    <cellStyle name="Normal 6 3 2 29 5" xfId="29608"/>
    <cellStyle name="Normal 6 3 2 29 6" xfId="34466"/>
    <cellStyle name="Normal 6 3 2 29 7" xfId="39197"/>
    <cellStyle name="Normal 6 3 2 3" xfId="4335"/>
    <cellStyle name="Normal 6 3 2 3 2" xfId="6437"/>
    <cellStyle name="Normal 6 3 2 3 3" xfId="18547"/>
    <cellStyle name="Normal 6 3 2 3 4" xfId="23590"/>
    <cellStyle name="Normal 6 3 2 3 5" xfId="28551"/>
    <cellStyle name="Normal 6 3 2 3 6" xfId="33409"/>
    <cellStyle name="Normal 6 3 2 3 7" xfId="38140"/>
    <cellStyle name="Normal 6 3 2 30" xfId="7431"/>
    <cellStyle name="Normal 6 3 2 30 2" xfId="14497"/>
    <cellStyle name="Normal 6 3 2 30 3" xfId="19614"/>
    <cellStyle name="Normal 6 3 2 30 4" xfId="24657"/>
    <cellStyle name="Normal 6 3 2 30 5" xfId="29618"/>
    <cellStyle name="Normal 6 3 2 30 6" xfId="34476"/>
    <cellStyle name="Normal 6 3 2 30 7" xfId="39207"/>
    <cellStyle name="Normal 6 3 2 31" xfId="7433"/>
    <cellStyle name="Normal 6 3 2 31 2" xfId="14507"/>
    <cellStyle name="Normal 6 3 2 31 3" xfId="19624"/>
    <cellStyle name="Normal 6 3 2 31 4" xfId="24667"/>
    <cellStyle name="Normal 6 3 2 31 5" xfId="29628"/>
    <cellStyle name="Normal 6 3 2 31 6" xfId="34486"/>
    <cellStyle name="Normal 6 3 2 31 7" xfId="39217"/>
    <cellStyle name="Normal 6 3 2 32" xfId="7443"/>
    <cellStyle name="Normal 6 3 2 32 2" xfId="14517"/>
    <cellStyle name="Normal 6 3 2 32 3" xfId="19634"/>
    <cellStyle name="Normal 6 3 2 32 4" xfId="24677"/>
    <cellStyle name="Normal 6 3 2 32 5" xfId="29638"/>
    <cellStyle name="Normal 6 3 2 32 6" xfId="34496"/>
    <cellStyle name="Normal 6 3 2 32 7" xfId="39227"/>
    <cellStyle name="Normal 6 3 2 33" xfId="7453"/>
    <cellStyle name="Normal 6 3 2 33 2" xfId="14527"/>
    <cellStyle name="Normal 6 3 2 33 3" xfId="19644"/>
    <cellStyle name="Normal 6 3 2 33 4" xfId="24687"/>
    <cellStyle name="Normal 6 3 2 33 5" xfId="29648"/>
    <cellStyle name="Normal 6 3 2 33 6" xfId="34506"/>
    <cellStyle name="Normal 6 3 2 33 7" xfId="39237"/>
    <cellStyle name="Normal 6 3 2 34" xfId="7834"/>
    <cellStyle name="Normal 6 3 2 34 2" xfId="14914"/>
    <cellStyle name="Normal 6 3 2 34 3" xfId="20031"/>
    <cellStyle name="Normal 6 3 2 34 4" xfId="25074"/>
    <cellStyle name="Normal 6 3 2 34 5" xfId="30035"/>
    <cellStyle name="Normal 6 3 2 34 6" xfId="34893"/>
    <cellStyle name="Normal 6 3 2 34 7" xfId="39624"/>
    <cellStyle name="Normal 6 3 2 35" xfId="8042"/>
    <cellStyle name="Normal 6 3 2 35 2" xfId="15122"/>
    <cellStyle name="Normal 6 3 2 35 3" xfId="20239"/>
    <cellStyle name="Normal 6 3 2 35 4" xfId="25282"/>
    <cellStyle name="Normal 6 3 2 35 5" xfId="30243"/>
    <cellStyle name="Normal 6 3 2 35 6" xfId="35101"/>
    <cellStyle name="Normal 6 3 2 35 7" xfId="39832"/>
    <cellStyle name="Normal 6 3 2 36" xfId="8098"/>
    <cellStyle name="Normal 6 3 2 36 2" xfId="15178"/>
    <cellStyle name="Normal 6 3 2 36 3" xfId="20295"/>
    <cellStyle name="Normal 6 3 2 36 4" xfId="25338"/>
    <cellStyle name="Normal 6 3 2 36 5" xfId="30299"/>
    <cellStyle name="Normal 6 3 2 36 6" xfId="35157"/>
    <cellStyle name="Normal 6 3 2 36 7" xfId="39888"/>
    <cellStyle name="Normal 6 3 2 37" xfId="8112"/>
    <cellStyle name="Normal 6 3 2 37 2" xfId="15192"/>
    <cellStyle name="Normal 6 3 2 37 3" xfId="20309"/>
    <cellStyle name="Normal 6 3 2 37 4" xfId="25352"/>
    <cellStyle name="Normal 6 3 2 37 5" xfId="30313"/>
    <cellStyle name="Normal 6 3 2 37 6" xfId="35171"/>
    <cellStyle name="Normal 6 3 2 37 7" xfId="39902"/>
    <cellStyle name="Normal 6 3 2 38" xfId="8125"/>
    <cellStyle name="Normal 6 3 2 38 2" xfId="15205"/>
    <cellStyle name="Normal 6 3 2 38 3" xfId="20322"/>
    <cellStyle name="Normal 6 3 2 38 4" xfId="25365"/>
    <cellStyle name="Normal 6 3 2 38 5" xfId="30326"/>
    <cellStyle name="Normal 6 3 2 38 6" xfId="35184"/>
    <cellStyle name="Normal 6 3 2 38 7" xfId="39915"/>
    <cellStyle name="Normal 6 3 2 39" xfId="8137"/>
    <cellStyle name="Normal 6 3 2 39 2" xfId="15217"/>
    <cellStyle name="Normal 6 3 2 39 3" xfId="20334"/>
    <cellStyle name="Normal 6 3 2 39 4" xfId="25377"/>
    <cellStyle name="Normal 6 3 2 39 5" xfId="30338"/>
    <cellStyle name="Normal 6 3 2 39 6" xfId="35196"/>
    <cellStyle name="Normal 6 3 2 39 7" xfId="39927"/>
    <cellStyle name="Normal 6 3 2 4" xfId="4320"/>
    <cellStyle name="Normal 6 3 2 4 2" xfId="6491"/>
    <cellStyle name="Normal 6 3 2 4 3" xfId="18609"/>
    <cellStyle name="Normal 6 3 2 4 4" xfId="23652"/>
    <cellStyle name="Normal 6 3 2 4 5" xfId="28613"/>
    <cellStyle name="Normal 6 3 2 4 6" xfId="33471"/>
    <cellStyle name="Normal 6 3 2 4 7" xfId="38202"/>
    <cellStyle name="Normal 6 3 2 40" xfId="8149"/>
    <cellStyle name="Normal 6 3 2 40 2" xfId="15229"/>
    <cellStyle name="Normal 6 3 2 40 3" xfId="20346"/>
    <cellStyle name="Normal 6 3 2 40 4" xfId="25389"/>
    <cellStyle name="Normal 6 3 2 40 5" xfId="30350"/>
    <cellStyle name="Normal 6 3 2 40 6" xfId="35208"/>
    <cellStyle name="Normal 6 3 2 40 7" xfId="39939"/>
    <cellStyle name="Normal 6 3 2 41" xfId="8160"/>
    <cellStyle name="Normal 6 3 2 41 2" xfId="15240"/>
    <cellStyle name="Normal 6 3 2 41 3" xfId="20357"/>
    <cellStyle name="Normal 6 3 2 41 4" xfId="25400"/>
    <cellStyle name="Normal 6 3 2 41 5" xfId="30361"/>
    <cellStyle name="Normal 6 3 2 41 6" xfId="35219"/>
    <cellStyle name="Normal 6 3 2 41 7" xfId="39950"/>
    <cellStyle name="Normal 6 3 2 42" xfId="8170"/>
    <cellStyle name="Normal 6 3 2 42 2" xfId="15250"/>
    <cellStyle name="Normal 6 3 2 42 3" xfId="20367"/>
    <cellStyle name="Normal 6 3 2 42 4" xfId="25410"/>
    <cellStyle name="Normal 6 3 2 42 5" xfId="30371"/>
    <cellStyle name="Normal 6 3 2 42 6" xfId="35229"/>
    <cellStyle name="Normal 6 3 2 42 7" xfId="39960"/>
    <cellStyle name="Normal 6 3 2 43" xfId="8180"/>
    <cellStyle name="Normal 6 3 2 43 2" xfId="15260"/>
    <cellStyle name="Normal 6 3 2 43 3" xfId="20377"/>
    <cellStyle name="Normal 6 3 2 43 4" xfId="25420"/>
    <cellStyle name="Normal 6 3 2 43 5" xfId="30381"/>
    <cellStyle name="Normal 6 3 2 43 6" xfId="35239"/>
    <cellStyle name="Normal 6 3 2 43 7" xfId="39970"/>
    <cellStyle name="Normal 6 3 2 44" xfId="8190"/>
    <cellStyle name="Normal 6 3 2 44 2" xfId="15270"/>
    <cellStyle name="Normal 6 3 2 44 3" xfId="20387"/>
    <cellStyle name="Normal 6 3 2 44 4" xfId="25430"/>
    <cellStyle name="Normal 6 3 2 44 5" xfId="30391"/>
    <cellStyle name="Normal 6 3 2 44 6" xfId="35249"/>
    <cellStyle name="Normal 6 3 2 44 7" xfId="39980"/>
    <cellStyle name="Normal 6 3 2 45" xfId="8200"/>
    <cellStyle name="Normal 6 3 2 45 2" xfId="15280"/>
    <cellStyle name="Normal 6 3 2 45 3" xfId="20397"/>
    <cellStyle name="Normal 6 3 2 45 4" xfId="25440"/>
    <cellStyle name="Normal 6 3 2 45 5" xfId="30401"/>
    <cellStyle name="Normal 6 3 2 45 6" xfId="35259"/>
    <cellStyle name="Normal 6 3 2 45 7" xfId="39990"/>
    <cellStyle name="Normal 6 3 2 46" xfId="8210"/>
    <cellStyle name="Normal 6 3 2 46 2" xfId="15290"/>
    <cellStyle name="Normal 6 3 2 46 3" xfId="20407"/>
    <cellStyle name="Normal 6 3 2 46 4" xfId="25450"/>
    <cellStyle name="Normal 6 3 2 46 5" xfId="30411"/>
    <cellStyle name="Normal 6 3 2 46 6" xfId="35269"/>
    <cellStyle name="Normal 6 3 2 46 7" xfId="40000"/>
    <cellStyle name="Normal 6 3 2 47" xfId="8220"/>
    <cellStyle name="Normal 6 3 2 47 2" xfId="15300"/>
    <cellStyle name="Normal 6 3 2 47 3" xfId="20417"/>
    <cellStyle name="Normal 6 3 2 47 4" xfId="25460"/>
    <cellStyle name="Normal 6 3 2 47 5" xfId="30421"/>
    <cellStyle name="Normal 6 3 2 47 6" xfId="35279"/>
    <cellStyle name="Normal 6 3 2 47 7" xfId="40010"/>
    <cellStyle name="Normal 6 3 2 48" xfId="8629"/>
    <cellStyle name="Normal 6 3 2 48 2" xfId="15710"/>
    <cellStyle name="Normal 6 3 2 48 3" xfId="20827"/>
    <cellStyle name="Normal 6 3 2 48 4" xfId="25870"/>
    <cellStyle name="Normal 6 3 2 48 5" xfId="30831"/>
    <cellStyle name="Normal 6 3 2 48 6" xfId="35689"/>
    <cellStyle name="Normal 6 3 2 48 7" xfId="40420"/>
    <cellStyle name="Normal 6 3 2 49" xfId="8838"/>
    <cellStyle name="Normal 6 3 2 49 2" xfId="15919"/>
    <cellStyle name="Normal 6 3 2 49 3" xfId="21036"/>
    <cellStyle name="Normal 6 3 2 49 4" xfId="26079"/>
    <cellStyle name="Normal 6 3 2 49 5" xfId="31040"/>
    <cellStyle name="Normal 6 3 2 49 6" xfId="35898"/>
    <cellStyle name="Normal 6 3 2 49 7" xfId="40629"/>
    <cellStyle name="Normal 6 3 2 5" xfId="4412"/>
    <cellStyle name="Normal 6 3 2 5 2" xfId="6507"/>
    <cellStyle name="Normal 6 3 2 5 3" xfId="18625"/>
    <cellStyle name="Normal 6 3 2 5 4" xfId="23668"/>
    <cellStyle name="Normal 6 3 2 5 5" xfId="28629"/>
    <cellStyle name="Normal 6 3 2 5 6" xfId="33487"/>
    <cellStyle name="Normal 6 3 2 5 7" xfId="38218"/>
    <cellStyle name="Normal 6 3 2 50" xfId="8897"/>
    <cellStyle name="Normal 6 3 2 50 2" xfId="15978"/>
    <cellStyle name="Normal 6 3 2 50 3" xfId="21095"/>
    <cellStyle name="Normal 6 3 2 50 4" xfId="26138"/>
    <cellStyle name="Normal 6 3 2 50 5" xfId="31099"/>
    <cellStyle name="Normal 6 3 2 50 6" xfId="35957"/>
    <cellStyle name="Normal 6 3 2 50 7" xfId="40688"/>
    <cellStyle name="Normal 6 3 2 51" xfId="8910"/>
    <cellStyle name="Normal 6 3 2 51 2" xfId="15991"/>
    <cellStyle name="Normal 6 3 2 51 3" xfId="21108"/>
    <cellStyle name="Normal 6 3 2 51 4" xfId="26151"/>
    <cellStyle name="Normal 6 3 2 51 5" xfId="31112"/>
    <cellStyle name="Normal 6 3 2 51 6" xfId="35970"/>
    <cellStyle name="Normal 6 3 2 51 7" xfId="40701"/>
    <cellStyle name="Normal 6 3 2 52" xfId="8923"/>
    <cellStyle name="Normal 6 3 2 52 2" xfId="16004"/>
    <cellStyle name="Normal 6 3 2 52 3" xfId="21121"/>
    <cellStyle name="Normal 6 3 2 52 4" xfId="26164"/>
    <cellStyle name="Normal 6 3 2 52 5" xfId="31125"/>
    <cellStyle name="Normal 6 3 2 52 6" xfId="35983"/>
    <cellStyle name="Normal 6 3 2 52 7" xfId="40714"/>
    <cellStyle name="Normal 6 3 2 53" xfId="8942"/>
    <cellStyle name="Normal 6 3 2 53 2" xfId="16023"/>
    <cellStyle name="Normal 6 3 2 53 3" xfId="21140"/>
    <cellStyle name="Normal 6 3 2 53 4" xfId="26183"/>
    <cellStyle name="Normal 6 3 2 53 5" xfId="31144"/>
    <cellStyle name="Normal 6 3 2 53 6" xfId="36002"/>
    <cellStyle name="Normal 6 3 2 53 7" xfId="40733"/>
    <cellStyle name="Normal 6 3 2 54" xfId="8954"/>
    <cellStyle name="Normal 6 3 2 54 2" xfId="16035"/>
    <cellStyle name="Normal 6 3 2 54 3" xfId="21152"/>
    <cellStyle name="Normal 6 3 2 54 4" xfId="26195"/>
    <cellStyle name="Normal 6 3 2 54 5" xfId="31156"/>
    <cellStyle name="Normal 6 3 2 54 6" xfId="36014"/>
    <cellStyle name="Normal 6 3 2 54 7" xfId="40745"/>
    <cellStyle name="Normal 6 3 2 55" xfId="8857"/>
    <cellStyle name="Normal 6 3 2 55 2" xfId="15938"/>
    <cellStyle name="Normal 6 3 2 55 3" xfId="21055"/>
    <cellStyle name="Normal 6 3 2 55 4" xfId="26098"/>
    <cellStyle name="Normal 6 3 2 55 5" xfId="31059"/>
    <cellStyle name="Normal 6 3 2 55 6" xfId="35917"/>
    <cellStyle name="Normal 6 3 2 55 7" xfId="40648"/>
    <cellStyle name="Normal 6 3 2 56" xfId="8984"/>
    <cellStyle name="Normal 6 3 2 56 2" xfId="16065"/>
    <cellStyle name="Normal 6 3 2 56 3" xfId="21182"/>
    <cellStyle name="Normal 6 3 2 56 4" xfId="26225"/>
    <cellStyle name="Normal 6 3 2 56 5" xfId="31186"/>
    <cellStyle name="Normal 6 3 2 56 6" xfId="36044"/>
    <cellStyle name="Normal 6 3 2 56 7" xfId="40775"/>
    <cellStyle name="Normal 6 3 2 57" xfId="8994"/>
    <cellStyle name="Normal 6 3 2 57 2" xfId="16075"/>
    <cellStyle name="Normal 6 3 2 57 3" xfId="21192"/>
    <cellStyle name="Normal 6 3 2 57 4" xfId="26235"/>
    <cellStyle name="Normal 6 3 2 57 5" xfId="31196"/>
    <cellStyle name="Normal 6 3 2 57 6" xfId="36054"/>
    <cellStyle name="Normal 6 3 2 57 7" xfId="40785"/>
    <cellStyle name="Normal 6 3 2 58" xfId="9004"/>
    <cellStyle name="Normal 6 3 2 58 2" xfId="16085"/>
    <cellStyle name="Normal 6 3 2 58 3" xfId="21202"/>
    <cellStyle name="Normal 6 3 2 58 4" xfId="26245"/>
    <cellStyle name="Normal 6 3 2 58 5" xfId="31206"/>
    <cellStyle name="Normal 6 3 2 58 6" xfId="36064"/>
    <cellStyle name="Normal 6 3 2 58 7" xfId="40795"/>
    <cellStyle name="Normal 6 3 2 59" xfId="9014"/>
    <cellStyle name="Normal 6 3 2 59 2" xfId="16095"/>
    <cellStyle name="Normal 6 3 2 59 3" xfId="21212"/>
    <cellStyle name="Normal 6 3 2 59 4" xfId="26255"/>
    <cellStyle name="Normal 6 3 2 59 5" xfId="31216"/>
    <cellStyle name="Normal 6 3 2 59 6" xfId="36074"/>
    <cellStyle name="Normal 6 3 2 59 7" xfId="40805"/>
    <cellStyle name="Normal 6 3 2 6" xfId="4468"/>
    <cellStyle name="Normal 6 3 2 6 2" xfId="6522"/>
    <cellStyle name="Normal 6 3 2 6 3" xfId="18640"/>
    <cellStyle name="Normal 6 3 2 6 4" xfId="23683"/>
    <cellStyle name="Normal 6 3 2 6 5" xfId="28644"/>
    <cellStyle name="Normal 6 3 2 6 6" xfId="33502"/>
    <cellStyle name="Normal 6 3 2 6 7" xfId="38233"/>
    <cellStyle name="Normal 6 3 2 60" xfId="9024"/>
    <cellStyle name="Normal 6 3 2 60 2" xfId="16105"/>
    <cellStyle name="Normal 6 3 2 60 3" xfId="21222"/>
    <cellStyle name="Normal 6 3 2 60 4" xfId="26265"/>
    <cellStyle name="Normal 6 3 2 60 5" xfId="31226"/>
    <cellStyle name="Normal 6 3 2 60 6" xfId="36084"/>
    <cellStyle name="Normal 6 3 2 60 7" xfId="40815"/>
    <cellStyle name="Normal 6 3 2 61" xfId="9034"/>
    <cellStyle name="Normal 6 3 2 61 2" xfId="16115"/>
    <cellStyle name="Normal 6 3 2 61 3" xfId="21232"/>
    <cellStyle name="Normal 6 3 2 61 4" xfId="26275"/>
    <cellStyle name="Normal 6 3 2 61 5" xfId="31236"/>
    <cellStyle name="Normal 6 3 2 61 6" xfId="36094"/>
    <cellStyle name="Normal 6 3 2 61 7" xfId="40825"/>
    <cellStyle name="Normal 6 3 2 62" xfId="9044"/>
    <cellStyle name="Normal 6 3 2 62 2" xfId="16125"/>
    <cellStyle name="Normal 6 3 2 62 3" xfId="21242"/>
    <cellStyle name="Normal 6 3 2 62 4" xfId="26285"/>
    <cellStyle name="Normal 6 3 2 62 5" xfId="31246"/>
    <cellStyle name="Normal 6 3 2 62 6" xfId="36104"/>
    <cellStyle name="Normal 6 3 2 62 7" xfId="40835"/>
    <cellStyle name="Normal 6 3 2 63" xfId="9388"/>
    <cellStyle name="Normal 6 3 2 63 2" xfId="16469"/>
    <cellStyle name="Normal 6 3 2 63 3" xfId="21586"/>
    <cellStyle name="Normal 6 3 2 63 4" xfId="26629"/>
    <cellStyle name="Normal 6 3 2 63 5" xfId="31590"/>
    <cellStyle name="Normal 6 3 2 63 6" xfId="36448"/>
    <cellStyle name="Normal 6 3 2 63 7" xfId="41179"/>
    <cellStyle name="Normal 6 3 2 64" xfId="9561"/>
    <cellStyle name="Normal 6 3 2 64 2" xfId="16642"/>
    <cellStyle name="Normal 6 3 2 64 3" xfId="21759"/>
    <cellStyle name="Normal 6 3 2 64 4" xfId="26802"/>
    <cellStyle name="Normal 6 3 2 64 5" xfId="31763"/>
    <cellStyle name="Normal 6 3 2 64 6" xfId="36621"/>
    <cellStyle name="Normal 6 3 2 64 7" xfId="41352"/>
    <cellStyle name="Normal 6 3 2 65" xfId="9609"/>
    <cellStyle name="Normal 6 3 2 65 2" xfId="16690"/>
    <cellStyle name="Normal 6 3 2 65 3" xfId="21807"/>
    <cellStyle name="Normal 6 3 2 65 4" xfId="26850"/>
    <cellStyle name="Normal 6 3 2 65 5" xfId="31811"/>
    <cellStyle name="Normal 6 3 2 65 6" xfId="36669"/>
    <cellStyle name="Normal 6 3 2 65 7" xfId="41400"/>
    <cellStyle name="Normal 6 3 2 66" xfId="9621"/>
    <cellStyle name="Normal 6 3 2 66 2" xfId="16702"/>
    <cellStyle name="Normal 6 3 2 66 3" xfId="21819"/>
    <cellStyle name="Normal 6 3 2 66 4" xfId="26862"/>
    <cellStyle name="Normal 6 3 2 66 5" xfId="31823"/>
    <cellStyle name="Normal 6 3 2 66 6" xfId="36681"/>
    <cellStyle name="Normal 6 3 2 66 7" xfId="41412"/>
    <cellStyle name="Normal 6 3 2 67" xfId="9633"/>
    <cellStyle name="Normal 6 3 2 67 2" xfId="16714"/>
    <cellStyle name="Normal 6 3 2 67 3" xfId="21831"/>
    <cellStyle name="Normal 6 3 2 67 4" xfId="26874"/>
    <cellStyle name="Normal 6 3 2 67 5" xfId="31835"/>
    <cellStyle name="Normal 6 3 2 67 6" xfId="36693"/>
    <cellStyle name="Normal 6 3 2 67 7" xfId="41424"/>
    <cellStyle name="Normal 6 3 2 68" xfId="9644"/>
    <cellStyle name="Normal 6 3 2 68 2" xfId="16725"/>
    <cellStyle name="Normal 6 3 2 68 3" xfId="21842"/>
    <cellStyle name="Normal 6 3 2 68 4" xfId="26885"/>
    <cellStyle name="Normal 6 3 2 68 5" xfId="31846"/>
    <cellStyle name="Normal 6 3 2 68 6" xfId="36704"/>
    <cellStyle name="Normal 6 3 2 68 7" xfId="41435"/>
    <cellStyle name="Normal 6 3 2 69" xfId="9654"/>
    <cellStyle name="Normal 6 3 2 69 2" xfId="16735"/>
    <cellStyle name="Normal 6 3 2 69 3" xfId="21852"/>
    <cellStyle name="Normal 6 3 2 69 4" xfId="26895"/>
    <cellStyle name="Normal 6 3 2 69 5" xfId="31856"/>
    <cellStyle name="Normal 6 3 2 69 6" xfId="36714"/>
    <cellStyle name="Normal 6 3 2 69 7" xfId="41445"/>
    <cellStyle name="Normal 6 3 2 7" xfId="4576"/>
    <cellStyle name="Normal 6 3 2 7 2" xfId="6536"/>
    <cellStyle name="Normal 6 3 2 7 3" xfId="18654"/>
    <cellStyle name="Normal 6 3 2 7 4" xfId="23697"/>
    <cellStyle name="Normal 6 3 2 7 5" xfId="28658"/>
    <cellStyle name="Normal 6 3 2 7 6" xfId="33516"/>
    <cellStyle name="Normal 6 3 2 7 7" xfId="38247"/>
    <cellStyle name="Normal 6 3 2 70" xfId="9664"/>
    <cellStyle name="Normal 6 3 2 70 2" xfId="16745"/>
    <cellStyle name="Normal 6 3 2 70 3" xfId="21862"/>
    <cellStyle name="Normal 6 3 2 70 4" xfId="26905"/>
    <cellStyle name="Normal 6 3 2 70 5" xfId="31866"/>
    <cellStyle name="Normal 6 3 2 70 6" xfId="36724"/>
    <cellStyle name="Normal 6 3 2 70 7" xfId="41455"/>
    <cellStyle name="Normal 6 3 2 71" xfId="9674"/>
    <cellStyle name="Normal 6 3 2 71 2" xfId="16755"/>
    <cellStyle name="Normal 6 3 2 71 3" xfId="21872"/>
    <cellStyle name="Normal 6 3 2 71 4" xfId="26915"/>
    <cellStyle name="Normal 6 3 2 71 5" xfId="31876"/>
    <cellStyle name="Normal 6 3 2 71 6" xfId="36734"/>
    <cellStyle name="Normal 6 3 2 71 7" xfId="41465"/>
    <cellStyle name="Normal 6 3 2 72" xfId="9684"/>
    <cellStyle name="Normal 6 3 2 72 2" xfId="16765"/>
    <cellStyle name="Normal 6 3 2 72 3" xfId="21882"/>
    <cellStyle name="Normal 6 3 2 72 4" xfId="26925"/>
    <cellStyle name="Normal 6 3 2 72 5" xfId="31886"/>
    <cellStyle name="Normal 6 3 2 72 6" xfId="36744"/>
    <cellStyle name="Normal 6 3 2 72 7" xfId="41475"/>
    <cellStyle name="Normal 6 3 2 73" xfId="9694"/>
    <cellStyle name="Normal 6 3 2 73 2" xfId="16775"/>
    <cellStyle name="Normal 6 3 2 73 3" xfId="21892"/>
    <cellStyle name="Normal 6 3 2 73 4" xfId="26935"/>
    <cellStyle name="Normal 6 3 2 73 5" xfId="31896"/>
    <cellStyle name="Normal 6 3 2 73 6" xfId="36754"/>
    <cellStyle name="Normal 6 3 2 73 7" xfId="41485"/>
    <cellStyle name="Normal 6 3 2 74" xfId="9704"/>
    <cellStyle name="Normal 6 3 2 74 2" xfId="16785"/>
    <cellStyle name="Normal 6 3 2 74 3" xfId="21902"/>
    <cellStyle name="Normal 6 3 2 74 4" xfId="26945"/>
    <cellStyle name="Normal 6 3 2 74 5" xfId="31906"/>
    <cellStyle name="Normal 6 3 2 74 6" xfId="36764"/>
    <cellStyle name="Normal 6 3 2 74 7" xfId="41495"/>
    <cellStyle name="Normal 6 3 2 75" xfId="9884"/>
    <cellStyle name="Normal 6 3 2 75 2" xfId="16965"/>
    <cellStyle name="Normal 6 3 2 75 3" xfId="22082"/>
    <cellStyle name="Normal 6 3 2 75 4" xfId="27125"/>
    <cellStyle name="Normal 6 3 2 75 5" xfId="32086"/>
    <cellStyle name="Normal 6 3 2 75 6" xfId="36944"/>
    <cellStyle name="Normal 6 3 2 75 7" xfId="41675"/>
    <cellStyle name="Normal 6 3 2 76" xfId="9979"/>
    <cellStyle name="Normal 6 3 2 76 2" xfId="17060"/>
    <cellStyle name="Normal 6 3 2 76 3" xfId="22177"/>
    <cellStyle name="Normal 6 3 2 76 4" xfId="27220"/>
    <cellStyle name="Normal 6 3 2 76 5" xfId="32181"/>
    <cellStyle name="Normal 6 3 2 76 6" xfId="37039"/>
    <cellStyle name="Normal 6 3 2 76 7" xfId="41770"/>
    <cellStyle name="Normal 6 3 2 77" xfId="10004"/>
    <cellStyle name="Normal 6 3 2 77 2" xfId="17085"/>
    <cellStyle name="Normal 6 3 2 77 3" xfId="22202"/>
    <cellStyle name="Normal 6 3 2 77 4" xfId="27245"/>
    <cellStyle name="Normal 6 3 2 77 5" xfId="32206"/>
    <cellStyle name="Normal 6 3 2 77 6" xfId="37064"/>
    <cellStyle name="Normal 6 3 2 77 7" xfId="41795"/>
    <cellStyle name="Normal 6 3 2 78" xfId="10014"/>
    <cellStyle name="Normal 6 3 2 78 2" xfId="17095"/>
    <cellStyle name="Normal 6 3 2 78 3" xfId="22212"/>
    <cellStyle name="Normal 6 3 2 78 4" xfId="27255"/>
    <cellStyle name="Normal 6 3 2 78 5" xfId="32216"/>
    <cellStyle name="Normal 6 3 2 78 6" xfId="37074"/>
    <cellStyle name="Normal 6 3 2 78 7" xfId="41805"/>
    <cellStyle name="Normal 6 3 2 79" xfId="10024"/>
    <cellStyle name="Normal 6 3 2 79 2" xfId="17105"/>
    <cellStyle name="Normal 6 3 2 79 3" xfId="22222"/>
    <cellStyle name="Normal 6 3 2 79 4" xfId="27265"/>
    <cellStyle name="Normal 6 3 2 79 5" xfId="32226"/>
    <cellStyle name="Normal 6 3 2 79 6" xfId="37084"/>
    <cellStyle name="Normal 6 3 2 79 7" xfId="41815"/>
    <cellStyle name="Normal 6 3 2 8" xfId="4621"/>
    <cellStyle name="Normal 6 3 2 8 2" xfId="6549"/>
    <cellStyle name="Normal 6 3 2 8 3" xfId="18667"/>
    <cellStyle name="Normal 6 3 2 8 4" xfId="23710"/>
    <cellStyle name="Normal 6 3 2 8 5" xfId="28671"/>
    <cellStyle name="Normal 6 3 2 8 6" xfId="33529"/>
    <cellStyle name="Normal 6 3 2 8 7" xfId="38260"/>
    <cellStyle name="Normal 6 3 2 80" xfId="10034"/>
    <cellStyle name="Normal 6 3 2 80 2" xfId="17115"/>
    <cellStyle name="Normal 6 3 2 80 3" xfId="22232"/>
    <cellStyle name="Normal 6 3 2 80 4" xfId="27275"/>
    <cellStyle name="Normal 6 3 2 80 5" xfId="32236"/>
    <cellStyle name="Normal 6 3 2 80 6" xfId="37094"/>
    <cellStyle name="Normal 6 3 2 80 7" xfId="41825"/>
    <cellStyle name="Normal 6 3 2 81" xfId="10214"/>
    <cellStyle name="Normal 6 3 2 81 2" xfId="17295"/>
    <cellStyle name="Normal 6 3 2 81 3" xfId="22412"/>
    <cellStyle name="Normal 6 3 2 81 4" xfId="27455"/>
    <cellStyle name="Normal 6 3 2 81 5" xfId="32416"/>
    <cellStyle name="Normal 6 3 2 81 6" xfId="37274"/>
    <cellStyle name="Normal 6 3 2 81 7" xfId="42005"/>
    <cellStyle name="Normal 6 3 2 82" xfId="10309"/>
    <cellStyle name="Normal 6 3 2 82 2" xfId="17390"/>
    <cellStyle name="Normal 6 3 2 82 3" xfId="22507"/>
    <cellStyle name="Normal 6 3 2 82 4" xfId="27550"/>
    <cellStyle name="Normal 6 3 2 82 5" xfId="32511"/>
    <cellStyle name="Normal 6 3 2 82 6" xfId="37369"/>
    <cellStyle name="Normal 6 3 2 82 7" xfId="42100"/>
    <cellStyle name="Normal 6 3 2 83" xfId="10334"/>
    <cellStyle name="Normal 6 3 2 83 2" xfId="17415"/>
    <cellStyle name="Normal 6 3 2 83 3" xfId="22532"/>
    <cellStyle name="Normal 6 3 2 83 4" xfId="27575"/>
    <cellStyle name="Normal 6 3 2 83 5" xfId="32536"/>
    <cellStyle name="Normal 6 3 2 83 6" xfId="37394"/>
    <cellStyle name="Normal 6 3 2 83 7" xfId="42125"/>
    <cellStyle name="Normal 6 3 2 84" xfId="10344"/>
    <cellStyle name="Normal 6 3 2 84 2" xfId="17425"/>
    <cellStyle name="Normal 6 3 2 84 3" xfId="22542"/>
    <cellStyle name="Normal 6 3 2 84 4" xfId="27585"/>
    <cellStyle name="Normal 6 3 2 84 5" xfId="32546"/>
    <cellStyle name="Normal 6 3 2 84 6" xfId="37404"/>
    <cellStyle name="Normal 6 3 2 84 7" xfId="42135"/>
    <cellStyle name="Normal 6 3 2 85" xfId="10354"/>
    <cellStyle name="Normal 6 3 2 85 2" xfId="17435"/>
    <cellStyle name="Normal 6 3 2 85 3" xfId="22552"/>
    <cellStyle name="Normal 6 3 2 85 4" xfId="27595"/>
    <cellStyle name="Normal 6 3 2 85 5" xfId="32556"/>
    <cellStyle name="Normal 6 3 2 85 6" xfId="37414"/>
    <cellStyle name="Normal 6 3 2 85 7" xfId="42145"/>
    <cellStyle name="Normal 6 3 2 86" xfId="10364"/>
    <cellStyle name="Normal 6 3 2 86 2" xfId="17445"/>
    <cellStyle name="Normal 6 3 2 86 3" xfId="22562"/>
    <cellStyle name="Normal 6 3 2 86 4" xfId="27605"/>
    <cellStyle name="Normal 6 3 2 86 5" xfId="32566"/>
    <cellStyle name="Normal 6 3 2 86 6" xfId="37424"/>
    <cellStyle name="Normal 6 3 2 86 7" xfId="42155"/>
    <cellStyle name="Normal 6 3 2 87" xfId="13030"/>
    <cellStyle name="Normal 6 3 2 88" xfId="13217"/>
    <cellStyle name="Normal 6 3 2 89" xfId="13626"/>
    <cellStyle name="Normal 6 3 2 9" xfId="4561"/>
    <cellStyle name="Normal 6 3 2 9 2" xfId="6561"/>
    <cellStyle name="Normal 6 3 2 9 3" xfId="18679"/>
    <cellStyle name="Normal 6 3 2 9 4" xfId="23722"/>
    <cellStyle name="Normal 6 3 2 9 5" xfId="28683"/>
    <cellStyle name="Normal 6 3 2 9 6" xfId="33541"/>
    <cellStyle name="Normal 6 3 2 9 7" xfId="38272"/>
    <cellStyle name="Normal 6 3 2 90" xfId="12652"/>
    <cellStyle name="Normal 6 3 2 91" xfId="11839"/>
    <cellStyle name="Normal 6 3 2 92" xfId="14166"/>
    <cellStyle name="Normal 6 3 20" xfId="5096"/>
    <cellStyle name="Normal 6 3 20 2" xfId="6709"/>
    <cellStyle name="Normal 6 3 20 3" xfId="18830"/>
    <cellStyle name="Normal 6 3 20 4" xfId="23873"/>
    <cellStyle name="Normal 6 3 20 5" xfId="28834"/>
    <cellStyle name="Normal 6 3 20 6" xfId="33692"/>
    <cellStyle name="Normal 6 3 20 7" xfId="38423"/>
    <cellStyle name="Normal 6 3 21" xfId="5310"/>
    <cellStyle name="Normal 6 3 21 2" xfId="6839"/>
    <cellStyle name="Normal 6 3 21 3" xfId="18960"/>
    <cellStyle name="Normal 6 3 21 4" xfId="24003"/>
    <cellStyle name="Normal 6 3 21 5" xfId="28964"/>
    <cellStyle name="Normal 6 3 21 6" xfId="33822"/>
    <cellStyle name="Normal 6 3 21 7" xfId="38553"/>
    <cellStyle name="Normal 6 3 22" xfId="5593"/>
    <cellStyle name="Normal 6 3 22 2" xfId="6762"/>
    <cellStyle name="Normal 6 3 22 3" xfId="18883"/>
    <cellStyle name="Normal 6 3 22 4" xfId="23926"/>
    <cellStyle name="Normal 6 3 22 5" xfId="28887"/>
    <cellStyle name="Normal 6 3 22 6" xfId="33745"/>
    <cellStyle name="Normal 6 3 22 7" xfId="38476"/>
    <cellStyle name="Normal 6 3 23" xfId="5420"/>
    <cellStyle name="Normal 6 3 23 2" xfId="6836"/>
    <cellStyle name="Normal 6 3 23 3" xfId="18957"/>
    <cellStyle name="Normal 6 3 23 4" xfId="24000"/>
    <cellStyle name="Normal 6 3 23 5" xfId="28961"/>
    <cellStyle name="Normal 6 3 23 6" xfId="33819"/>
    <cellStyle name="Normal 6 3 23 7" xfId="38550"/>
    <cellStyle name="Normal 6 3 24" xfId="5585"/>
    <cellStyle name="Normal 6 3 24 2" xfId="7023"/>
    <cellStyle name="Normal 6 3 24 3" xfId="19162"/>
    <cellStyle name="Normal 6 3 24 4" xfId="24205"/>
    <cellStyle name="Normal 6 3 24 5" xfId="29166"/>
    <cellStyle name="Normal 6 3 24 6" xfId="34024"/>
    <cellStyle name="Normal 6 3 24 7" xfId="38755"/>
    <cellStyle name="Normal 6 3 25" xfId="5367"/>
    <cellStyle name="Normal 6 3 25 2" xfId="7356"/>
    <cellStyle name="Normal 6 3 25 3" xfId="19529"/>
    <cellStyle name="Normal 6 3 25 4" xfId="24572"/>
    <cellStyle name="Normal 6 3 25 5" xfId="29533"/>
    <cellStyle name="Normal 6 3 25 6" xfId="34391"/>
    <cellStyle name="Normal 6 3 25 7" xfId="39122"/>
    <cellStyle name="Normal 6 3 26" xfId="5566"/>
    <cellStyle name="Normal 6 3 26 2" xfId="7164"/>
    <cellStyle name="Normal 6 3 26 3" xfId="19319"/>
    <cellStyle name="Normal 6 3 26 4" xfId="24362"/>
    <cellStyle name="Normal 6 3 26 5" xfId="29323"/>
    <cellStyle name="Normal 6 3 26 6" xfId="34181"/>
    <cellStyle name="Normal 6 3 26 7" xfId="38912"/>
    <cellStyle name="Normal 6 3 27" xfId="5330"/>
    <cellStyle name="Normal 6 3 27 2" xfId="7350"/>
    <cellStyle name="Normal 6 3 27 3" xfId="19523"/>
    <cellStyle name="Normal 6 3 27 4" xfId="24566"/>
    <cellStyle name="Normal 6 3 27 5" xfId="29527"/>
    <cellStyle name="Normal 6 3 27 6" xfId="34385"/>
    <cellStyle name="Normal 6 3 27 7" xfId="39116"/>
    <cellStyle name="Normal 6 3 28" xfId="5352"/>
    <cellStyle name="Normal 6 3 28 2" xfId="7092"/>
    <cellStyle name="Normal 6 3 28 3" xfId="19237"/>
    <cellStyle name="Normal 6 3 28 4" xfId="24280"/>
    <cellStyle name="Normal 6 3 28 5" xfId="29241"/>
    <cellStyle name="Normal 6 3 28 6" xfId="34099"/>
    <cellStyle name="Normal 6 3 28 7" xfId="38830"/>
    <cellStyle name="Normal 6 3 29" xfId="5348"/>
    <cellStyle name="Normal 6 3 29 2" xfId="7326"/>
    <cellStyle name="Normal 6 3 29 3" xfId="19497"/>
    <cellStyle name="Normal 6 3 29 4" xfId="24540"/>
    <cellStyle name="Normal 6 3 29 5" xfId="29501"/>
    <cellStyle name="Normal 6 3 29 6" xfId="34359"/>
    <cellStyle name="Normal 6 3 29 7" xfId="39090"/>
    <cellStyle name="Normal 6 3 3" xfId="2511"/>
    <cellStyle name="Normal 6 3 3 10" xfId="4705"/>
    <cellStyle name="Normal 6 3 3 10 2" xfId="6345"/>
    <cellStyle name="Normal 6 3 3 10 3" xfId="18453"/>
    <cellStyle name="Normal 6 3 3 10 4" xfId="23496"/>
    <cellStyle name="Normal 6 3 3 10 5" xfId="28457"/>
    <cellStyle name="Normal 6 3 3 10 6" xfId="33315"/>
    <cellStyle name="Normal 6 3 3 10 7" xfId="38046"/>
    <cellStyle name="Normal 6 3 3 11" xfId="4862"/>
    <cellStyle name="Normal 6 3 3 11 2" xfId="6378"/>
    <cellStyle name="Normal 6 3 3 11 3" xfId="18488"/>
    <cellStyle name="Normal 6 3 3 11 4" xfId="23531"/>
    <cellStyle name="Normal 6 3 3 11 5" xfId="28492"/>
    <cellStyle name="Normal 6 3 3 11 6" xfId="33350"/>
    <cellStyle name="Normal 6 3 3 11 7" xfId="38081"/>
    <cellStyle name="Normal 6 3 3 12" xfId="4828"/>
    <cellStyle name="Normal 6 3 3 12 2" xfId="6432"/>
    <cellStyle name="Normal 6 3 3 12 3" xfId="18542"/>
    <cellStyle name="Normal 6 3 3 12 4" xfId="23585"/>
    <cellStyle name="Normal 6 3 3 12 5" xfId="28546"/>
    <cellStyle name="Normal 6 3 3 12 6" xfId="33404"/>
    <cellStyle name="Normal 6 3 3 12 7" xfId="38135"/>
    <cellStyle name="Normal 6 3 3 13" xfId="4820"/>
    <cellStyle name="Normal 6 3 3 13 2" xfId="5811"/>
    <cellStyle name="Normal 6 3 3 13 3" xfId="17908"/>
    <cellStyle name="Normal 6 3 3 13 4" xfId="22951"/>
    <cellStyle name="Normal 6 3 3 13 5" xfId="27912"/>
    <cellStyle name="Normal 6 3 3 13 6" xfId="32770"/>
    <cellStyle name="Normal 6 3 3 13 7" xfId="37501"/>
    <cellStyle name="Normal 6 3 3 14" xfId="4827"/>
    <cellStyle name="Normal 6 3 3 14 2" xfId="6283"/>
    <cellStyle name="Normal 6 3 3 14 3" xfId="18389"/>
    <cellStyle name="Normal 6 3 3 14 4" xfId="23432"/>
    <cellStyle name="Normal 6 3 3 14 5" xfId="28393"/>
    <cellStyle name="Normal 6 3 3 14 6" xfId="33251"/>
    <cellStyle name="Normal 6 3 3 14 7" xfId="37982"/>
    <cellStyle name="Normal 6 3 3 15" xfId="5087"/>
    <cellStyle name="Normal 6 3 3 15 2" xfId="6415"/>
    <cellStyle name="Normal 6 3 3 15 3" xfId="18525"/>
    <cellStyle name="Normal 6 3 3 15 4" xfId="23568"/>
    <cellStyle name="Normal 6 3 3 15 5" xfId="28529"/>
    <cellStyle name="Normal 6 3 3 15 6" xfId="33387"/>
    <cellStyle name="Normal 6 3 3 15 7" xfId="38118"/>
    <cellStyle name="Normal 6 3 3 16" xfId="5047"/>
    <cellStyle name="Normal 6 3 3 16 2" xfId="6294"/>
    <cellStyle name="Normal 6 3 3 16 3" xfId="18400"/>
    <cellStyle name="Normal 6 3 3 16 4" xfId="23443"/>
    <cellStyle name="Normal 6 3 3 16 5" xfId="28404"/>
    <cellStyle name="Normal 6 3 3 16 6" xfId="33262"/>
    <cellStyle name="Normal 6 3 3 16 7" xfId="37993"/>
    <cellStyle name="Normal 6 3 3 17" xfId="5000"/>
    <cellStyle name="Normal 6 3 3 17 2" xfId="6426"/>
    <cellStyle name="Normal 6 3 3 17 3" xfId="18536"/>
    <cellStyle name="Normal 6 3 3 17 4" xfId="23579"/>
    <cellStyle name="Normal 6 3 3 17 5" xfId="28540"/>
    <cellStyle name="Normal 6 3 3 17 6" xfId="33398"/>
    <cellStyle name="Normal 6 3 3 17 7" xfId="38129"/>
    <cellStyle name="Normal 6 3 3 18" xfId="4984"/>
    <cellStyle name="Normal 6 3 3 18 2" xfId="6781"/>
    <cellStyle name="Normal 6 3 3 18 3" xfId="18902"/>
    <cellStyle name="Normal 6 3 3 18 4" xfId="23945"/>
    <cellStyle name="Normal 6 3 3 18 5" xfId="28906"/>
    <cellStyle name="Normal 6 3 3 18 6" xfId="33764"/>
    <cellStyle name="Normal 6 3 3 18 7" xfId="38495"/>
    <cellStyle name="Normal 6 3 3 19" xfId="5441"/>
    <cellStyle name="Normal 6 3 3 19 2" xfId="6745"/>
    <cellStyle name="Normal 6 3 3 19 3" xfId="18866"/>
    <cellStyle name="Normal 6 3 3 19 4" xfId="23909"/>
    <cellStyle name="Normal 6 3 3 19 5" xfId="28870"/>
    <cellStyle name="Normal 6 3 3 19 6" xfId="33728"/>
    <cellStyle name="Normal 6 3 3 19 7" xfId="38459"/>
    <cellStyle name="Normal 6 3 3 2" xfId="4306"/>
    <cellStyle name="Normal 6 3 3 2 2" xfId="6220"/>
    <cellStyle name="Normal 6 3 3 2 3" xfId="18324"/>
    <cellStyle name="Normal 6 3 3 2 4" xfId="23367"/>
    <cellStyle name="Normal 6 3 3 2 5" xfId="28328"/>
    <cellStyle name="Normal 6 3 3 2 6" xfId="33186"/>
    <cellStyle name="Normal 6 3 3 2 7" xfId="37917"/>
    <cellStyle name="Normal 6 3 3 20" xfId="5383"/>
    <cellStyle name="Normal 6 3 3 20 2" xfId="6734"/>
    <cellStyle name="Normal 6 3 3 20 3" xfId="18855"/>
    <cellStyle name="Normal 6 3 3 20 4" xfId="23898"/>
    <cellStyle name="Normal 6 3 3 20 5" xfId="28859"/>
    <cellStyle name="Normal 6 3 3 20 6" xfId="33717"/>
    <cellStyle name="Normal 6 3 3 20 7" xfId="38448"/>
    <cellStyle name="Normal 6 3 3 21" xfId="5361"/>
    <cellStyle name="Normal 6 3 3 21 2" xfId="6744"/>
    <cellStyle name="Normal 6 3 3 21 3" xfId="18865"/>
    <cellStyle name="Normal 6 3 3 21 4" xfId="23908"/>
    <cellStyle name="Normal 6 3 3 21 5" xfId="28869"/>
    <cellStyle name="Normal 6 3 3 21 6" xfId="33727"/>
    <cellStyle name="Normal 6 3 3 21 7" xfId="38458"/>
    <cellStyle name="Normal 6 3 3 22" xfId="5382"/>
    <cellStyle name="Normal 6 3 3 22 2" xfId="7185"/>
    <cellStyle name="Normal 6 3 3 22 3" xfId="19340"/>
    <cellStyle name="Normal 6 3 3 22 4" xfId="24383"/>
    <cellStyle name="Normal 6 3 3 22 5" xfId="29344"/>
    <cellStyle name="Normal 6 3 3 22 6" xfId="34202"/>
    <cellStyle name="Normal 6 3 3 22 7" xfId="38933"/>
    <cellStyle name="Normal 6 3 3 23" xfId="5403"/>
    <cellStyle name="Normal 6 3 3 23 2" xfId="7119"/>
    <cellStyle name="Normal 6 3 3 23 3" xfId="19267"/>
    <cellStyle name="Normal 6 3 3 23 4" xfId="24310"/>
    <cellStyle name="Normal 6 3 3 23 5" xfId="29271"/>
    <cellStyle name="Normal 6 3 3 23 6" xfId="34129"/>
    <cellStyle name="Normal 6 3 3 23 7" xfId="38860"/>
    <cellStyle name="Normal 6 3 3 24" xfId="5518"/>
    <cellStyle name="Normal 6 3 3 24 2" xfId="7082"/>
    <cellStyle name="Normal 6 3 3 24 3" xfId="19227"/>
    <cellStyle name="Normal 6 3 3 24 4" xfId="24270"/>
    <cellStyle name="Normal 6 3 3 24 5" xfId="29231"/>
    <cellStyle name="Normal 6 3 3 24 6" xfId="34089"/>
    <cellStyle name="Normal 6 3 3 24 7" xfId="38820"/>
    <cellStyle name="Normal 6 3 3 25" xfId="5282"/>
    <cellStyle name="Normal 6 3 3 25 2" xfId="7118"/>
    <cellStyle name="Normal 6 3 3 25 3" xfId="19265"/>
    <cellStyle name="Normal 6 3 3 25 4" xfId="24308"/>
    <cellStyle name="Normal 6 3 3 25 5" xfId="29269"/>
    <cellStyle name="Normal 6 3 3 25 6" xfId="34127"/>
    <cellStyle name="Normal 6 3 3 25 7" xfId="38858"/>
    <cellStyle name="Normal 6 3 3 26" xfId="5536"/>
    <cellStyle name="Normal 6 3 3 26 2" xfId="7151"/>
    <cellStyle name="Normal 6 3 3 26 3" xfId="19303"/>
    <cellStyle name="Normal 6 3 3 26 4" xfId="24346"/>
    <cellStyle name="Normal 6 3 3 26 5" xfId="29307"/>
    <cellStyle name="Normal 6 3 3 26 6" xfId="34165"/>
    <cellStyle name="Normal 6 3 3 26 7" xfId="38896"/>
    <cellStyle name="Normal 6 3 3 27" xfId="5323"/>
    <cellStyle name="Normal 6 3 3 27 2" xfId="7267"/>
    <cellStyle name="Normal 6 3 3 27 3" xfId="19431"/>
    <cellStyle name="Normal 6 3 3 27 4" xfId="24474"/>
    <cellStyle name="Normal 6 3 3 27 5" xfId="29435"/>
    <cellStyle name="Normal 6 3 3 27 6" xfId="34293"/>
    <cellStyle name="Normal 6 3 3 27 7" xfId="39024"/>
    <cellStyle name="Normal 6 3 3 28" xfId="5791"/>
    <cellStyle name="Normal 6 3 3 28 2" xfId="14282"/>
    <cellStyle name="Normal 6 3 3 28 3" xfId="19121"/>
    <cellStyle name="Normal 6 3 3 28 4" xfId="24164"/>
    <cellStyle name="Normal 6 3 3 28 5" xfId="29125"/>
    <cellStyle name="Normal 6 3 3 28 6" xfId="33983"/>
    <cellStyle name="Normal 6 3 3 28 7" xfId="38714"/>
    <cellStyle name="Normal 6 3 3 29" xfId="7124"/>
    <cellStyle name="Normal 6 3 3 29 2" xfId="14358"/>
    <cellStyle name="Normal 6 3 3 29 3" xfId="19273"/>
    <cellStyle name="Normal 6 3 3 29 4" xfId="24316"/>
    <cellStyle name="Normal 6 3 3 29 5" xfId="29277"/>
    <cellStyle name="Normal 6 3 3 29 6" xfId="34135"/>
    <cellStyle name="Normal 6 3 3 29 7" xfId="38866"/>
    <cellStyle name="Normal 6 3 3 3" xfId="4254"/>
    <cellStyle name="Normal 6 3 3 3 2" xfId="6130"/>
    <cellStyle name="Normal 6 3 3 3 3" xfId="18234"/>
    <cellStyle name="Normal 6 3 3 3 4" xfId="23277"/>
    <cellStyle name="Normal 6 3 3 3 5" xfId="28238"/>
    <cellStyle name="Normal 6 3 3 3 6" xfId="33096"/>
    <cellStyle name="Normal 6 3 3 3 7" xfId="37827"/>
    <cellStyle name="Normal 6 3 3 30" xfId="7268"/>
    <cellStyle name="Normal 6 3 3 30 2" xfId="14420"/>
    <cellStyle name="Normal 6 3 3 30 3" xfId="19432"/>
    <cellStyle name="Normal 6 3 3 30 4" xfId="24475"/>
    <cellStyle name="Normal 6 3 3 30 5" xfId="29436"/>
    <cellStyle name="Normal 6 3 3 30 6" xfId="34294"/>
    <cellStyle name="Normal 6 3 3 30 7" xfId="39025"/>
    <cellStyle name="Normal 6 3 3 31" xfId="7289"/>
    <cellStyle name="Normal 6 3 3 31 2" xfId="14433"/>
    <cellStyle name="Normal 6 3 3 31 3" xfId="19456"/>
    <cellStyle name="Normal 6 3 3 31 4" xfId="24499"/>
    <cellStyle name="Normal 6 3 3 31 5" xfId="29460"/>
    <cellStyle name="Normal 6 3 3 31 6" xfId="34318"/>
    <cellStyle name="Normal 6 3 3 31 7" xfId="39049"/>
    <cellStyle name="Normal 6 3 3 32" xfId="7327"/>
    <cellStyle name="Normal 6 3 3 32 2" xfId="14455"/>
    <cellStyle name="Normal 6 3 3 32 3" xfId="19498"/>
    <cellStyle name="Normal 6 3 3 32 4" xfId="24541"/>
    <cellStyle name="Normal 6 3 3 32 5" xfId="29502"/>
    <cellStyle name="Normal 6 3 3 32 6" xfId="34360"/>
    <cellStyle name="Normal 6 3 3 32 7" xfId="39091"/>
    <cellStyle name="Normal 6 3 3 33" xfId="6887"/>
    <cellStyle name="Normal 6 3 3 33 2" xfId="14222"/>
    <cellStyle name="Normal 6 3 3 33 3" xfId="19009"/>
    <cellStyle name="Normal 6 3 3 33 4" xfId="24052"/>
    <cellStyle name="Normal 6 3 3 33 5" xfId="29013"/>
    <cellStyle name="Normal 6 3 3 33 6" xfId="33871"/>
    <cellStyle name="Normal 6 3 3 33 7" xfId="38602"/>
    <cellStyle name="Normal 6 3 3 34" xfId="7846"/>
    <cellStyle name="Normal 6 3 3 34 2" xfId="14926"/>
    <cellStyle name="Normal 6 3 3 34 3" xfId="20043"/>
    <cellStyle name="Normal 6 3 3 34 4" xfId="25086"/>
    <cellStyle name="Normal 6 3 3 34 5" xfId="30047"/>
    <cellStyle name="Normal 6 3 3 34 6" xfId="34905"/>
    <cellStyle name="Normal 6 3 3 34 7" xfId="39636"/>
    <cellStyle name="Normal 6 3 3 35" xfId="7766"/>
    <cellStyle name="Normal 6 3 3 35 2" xfId="14846"/>
    <cellStyle name="Normal 6 3 3 35 3" xfId="19963"/>
    <cellStyle name="Normal 6 3 3 35 4" xfId="25006"/>
    <cellStyle name="Normal 6 3 3 35 5" xfId="29967"/>
    <cellStyle name="Normal 6 3 3 35 6" xfId="34825"/>
    <cellStyle name="Normal 6 3 3 35 7" xfId="39556"/>
    <cellStyle name="Normal 6 3 3 36" xfId="7724"/>
    <cellStyle name="Normal 6 3 3 36 2" xfId="14804"/>
    <cellStyle name="Normal 6 3 3 36 3" xfId="19921"/>
    <cellStyle name="Normal 6 3 3 36 4" xfId="24964"/>
    <cellStyle name="Normal 6 3 3 36 5" xfId="29925"/>
    <cellStyle name="Normal 6 3 3 36 6" xfId="34783"/>
    <cellStyle name="Normal 6 3 3 36 7" xfId="39514"/>
    <cellStyle name="Normal 6 3 3 37" xfId="7764"/>
    <cellStyle name="Normal 6 3 3 37 2" xfId="14844"/>
    <cellStyle name="Normal 6 3 3 37 3" xfId="19961"/>
    <cellStyle name="Normal 6 3 3 37 4" xfId="25004"/>
    <cellStyle name="Normal 6 3 3 37 5" xfId="29965"/>
    <cellStyle name="Normal 6 3 3 37 6" xfId="34823"/>
    <cellStyle name="Normal 6 3 3 37 7" xfId="39554"/>
    <cellStyle name="Normal 6 3 3 38" xfId="7808"/>
    <cellStyle name="Normal 6 3 3 38 2" xfId="14888"/>
    <cellStyle name="Normal 6 3 3 38 3" xfId="20005"/>
    <cellStyle name="Normal 6 3 3 38 4" xfId="25048"/>
    <cellStyle name="Normal 6 3 3 38 5" xfId="30009"/>
    <cellStyle name="Normal 6 3 3 38 6" xfId="34867"/>
    <cellStyle name="Normal 6 3 3 38 7" xfId="39598"/>
    <cellStyle name="Normal 6 3 3 39" xfId="7954"/>
    <cellStyle name="Normal 6 3 3 39 2" xfId="15034"/>
    <cellStyle name="Normal 6 3 3 39 3" xfId="20151"/>
    <cellStyle name="Normal 6 3 3 39 4" xfId="25194"/>
    <cellStyle name="Normal 6 3 3 39 5" xfId="30155"/>
    <cellStyle name="Normal 6 3 3 39 6" xfId="35013"/>
    <cellStyle name="Normal 6 3 3 39 7" xfId="39744"/>
    <cellStyle name="Normal 6 3 3 4" xfId="4331"/>
    <cellStyle name="Normal 6 3 3 4 2" xfId="6083"/>
    <cellStyle name="Normal 6 3 3 4 3" xfId="18187"/>
    <cellStyle name="Normal 6 3 3 4 4" xfId="23230"/>
    <cellStyle name="Normal 6 3 3 4 5" xfId="28191"/>
    <cellStyle name="Normal 6 3 3 4 6" xfId="33049"/>
    <cellStyle name="Normal 6 3 3 4 7" xfId="37780"/>
    <cellStyle name="Normal 6 3 3 40" xfId="7604"/>
    <cellStyle name="Normal 6 3 3 40 2" xfId="14684"/>
    <cellStyle name="Normal 6 3 3 40 3" xfId="19801"/>
    <cellStyle name="Normal 6 3 3 40 4" xfId="24844"/>
    <cellStyle name="Normal 6 3 3 40 5" xfId="29805"/>
    <cellStyle name="Normal 6 3 3 40 6" xfId="34663"/>
    <cellStyle name="Normal 6 3 3 40 7" xfId="39394"/>
    <cellStyle name="Normal 6 3 3 41" xfId="7773"/>
    <cellStyle name="Normal 6 3 3 41 2" xfId="14853"/>
    <cellStyle name="Normal 6 3 3 41 3" xfId="19970"/>
    <cellStyle name="Normal 6 3 3 41 4" xfId="25013"/>
    <cellStyle name="Normal 6 3 3 41 5" xfId="29974"/>
    <cellStyle name="Normal 6 3 3 41 6" xfId="34832"/>
    <cellStyle name="Normal 6 3 3 41 7" xfId="39563"/>
    <cellStyle name="Normal 6 3 3 42" xfId="7955"/>
    <cellStyle name="Normal 6 3 3 42 2" xfId="15035"/>
    <cellStyle name="Normal 6 3 3 42 3" xfId="20152"/>
    <cellStyle name="Normal 6 3 3 42 4" xfId="25195"/>
    <cellStyle name="Normal 6 3 3 42 5" xfId="30156"/>
    <cellStyle name="Normal 6 3 3 42 6" xfId="35014"/>
    <cellStyle name="Normal 6 3 3 42 7" xfId="39745"/>
    <cellStyle name="Normal 6 3 3 43" xfId="7987"/>
    <cellStyle name="Normal 6 3 3 43 2" xfId="15067"/>
    <cellStyle name="Normal 6 3 3 43 3" xfId="20184"/>
    <cellStyle name="Normal 6 3 3 43 4" xfId="25227"/>
    <cellStyle name="Normal 6 3 3 43 5" xfId="30188"/>
    <cellStyle name="Normal 6 3 3 43 6" xfId="35046"/>
    <cellStyle name="Normal 6 3 3 43 7" xfId="39777"/>
    <cellStyle name="Normal 6 3 3 44" xfId="8038"/>
    <cellStyle name="Normal 6 3 3 44 2" xfId="15118"/>
    <cellStyle name="Normal 6 3 3 44 3" xfId="20235"/>
    <cellStyle name="Normal 6 3 3 44 4" xfId="25278"/>
    <cellStyle name="Normal 6 3 3 44 5" xfId="30239"/>
    <cellStyle name="Normal 6 3 3 44 6" xfId="35097"/>
    <cellStyle name="Normal 6 3 3 44 7" xfId="39828"/>
    <cellStyle name="Normal 6 3 3 45" xfId="7477"/>
    <cellStyle name="Normal 6 3 3 45 2" xfId="14552"/>
    <cellStyle name="Normal 6 3 3 45 3" xfId="19669"/>
    <cellStyle name="Normal 6 3 3 45 4" xfId="24712"/>
    <cellStyle name="Normal 6 3 3 45 5" xfId="29673"/>
    <cellStyle name="Normal 6 3 3 45 6" xfId="34531"/>
    <cellStyle name="Normal 6 3 3 45 7" xfId="39262"/>
    <cellStyle name="Normal 6 3 3 46" xfId="7905"/>
    <cellStyle name="Normal 6 3 3 46 2" xfId="14985"/>
    <cellStyle name="Normal 6 3 3 46 3" xfId="20102"/>
    <cellStyle name="Normal 6 3 3 46 4" xfId="25145"/>
    <cellStyle name="Normal 6 3 3 46 5" xfId="30106"/>
    <cellStyle name="Normal 6 3 3 46 6" xfId="34964"/>
    <cellStyle name="Normal 6 3 3 46 7" xfId="39695"/>
    <cellStyle name="Normal 6 3 3 47" xfId="8024"/>
    <cellStyle name="Normal 6 3 3 47 2" xfId="15104"/>
    <cellStyle name="Normal 6 3 3 47 3" xfId="20221"/>
    <cellStyle name="Normal 6 3 3 47 4" xfId="25264"/>
    <cellStyle name="Normal 6 3 3 47 5" xfId="30225"/>
    <cellStyle name="Normal 6 3 3 47 6" xfId="35083"/>
    <cellStyle name="Normal 6 3 3 47 7" xfId="39814"/>
    <cellStyle name="Normal 6 3 3 48" xfId="8640"/>
    <cellStyle name="Normal 6 3 3 48 2" xfId="15721"/>
    <cellStyle name="Normal 6 3 3 48 3" xfId="20838"/>
    <cellStyle name="Normal 6 3 3 48 4" xfId="25881"/>
    <cellStyle name="Normal 6 3 3 48 5" xfId="30842"/>
    <cellStyle name="Normal 6 3 3 48 6" xfId="35700"/>
    <cellStyle name="Normal 6 3 3 48 7" xfId="40431"/>
    <cellStyle name="Normal 6 3 3 49" xfId="8556"/>
    <cellStyle name="Normal 6 3 3 49 2" xfId="15637"/>
    <cellStyle name="Normal 6 3 3 49 3" xfId="20754"/>
    <cellStyle name="Normal 6 3 3 49 4" xfId="25797"/>
    <cellStyle name="Normal 6 3 3 49 5" xfId="30758"/>
    <cellStyle name="Normal 6 3 3 49 6" xfId="35616"/>
    <cellStyle name="Normal 6 3 3 49 7" xfId="40347"/>
    <cellStyle name="Normal 6 3 3 5" xfId="4423"/>
    <cellStyle name="Normal 6 3 3 5 2" xfId="6128"/>
    <cellStyle name="Normal 6 3 3 5 3" xfId="18232"/>
    <cellStyle name="Normal 6 3 3 5 4" xfId="23275"/>
    <cellStyle name="Normal 6 3 3 5 5" xfId="28236"/>
    <cellStyle name="Normal 6 3 3 5 6" xfId="33094"/>
    <cellStyle name="Normal 6 3 3 5 7" xfId="37825"/>
    <cellStyle name="Normal 6 3 3 50" xfId="8506"/>
    <cellStyle name="Normal 6 3 3 50 2" xfId="15587"/>
    <cellStyle name="Normal 6 3 3 50 3" xfId="20704"/>
    <cellStyle name="Normal 6 3 3 50 4" xfId="25747"/>
    <cellStyle name="Normal 6 3 3 50 5" xfId="30708"/>
    <cellStyle name="Normal 6 3 3 50 6" xfId="35566"/>
    <cellStyle name="Normal 6 3 3 50 7" xfId="40297"/>
    <cellStyle name="Normal 6 3 3 51" xfId="8554"/>
    <cellStyle name="Normal 6 3 3 51 2" xfId="15635"/>
    <cellStyle name="Normal 6 3 3 51 3" xfId="20752"/>
    <cellStyle name="Normal 6 3 3 51 4" xfId="25795"/>
    <cellStyle name="Normal 6 3 3 51 5" xfId="30756"/>
    <cellStyle name="Normal 6 3 3 51 6" xfId="35614"/>
    <cellStyle name="Normal 6 3 3 51 7" xfId="40345"/>
    <cellStyle name="Normal 6 3 3 52" xfId="8593"/>
    <cellStyle name="Normal 6 3 3 52 2" xfId="15674"/>
    <cellStyle name="Normal 6 3 3 52 3" xfId="20791"/>
    <cellStyle name="Normal 6 3 3 52 4" xfId="25834"/>
    <cellStyle name="Normal 6 3 3 52 5" xfId="30795"/>
    <cellStyle name="Normal 6 3 3 52 6" xfId="35653"/>
    <cellStyle name="Normal 6 3 3 52 7" xfId="40384"/>
    <cellStyle name="Normal 6 3 3 53" xfId="8754"/>
    <cellStyle name="Normal 6 3 3 53 2" xfId="15835"/>
    <cellStyle name="Normal 6 3 3 53 3" xfId="20952"/>
    <cellStyle name="Normal 6 3 3 53 4" xfId="25995"/>
    <cellStyle name="Normal 6 3 3 53 5" xfId="30956"/>
    <cellStyle name="Normal 6 3 3 53 6" xfId="35814"/>
    <cellStyle name="Normal 6 3 3 53 7" xfId="40545"/>
    <cellStyle name="Normal 6 3 3 54" xfId="8384"/>
    <cellStyle name="Normal 6 3 3 54 2" xfId="15465"/>
    <cellStyle name="Normal 6 3 3 54 3" xfId="20582"/>
    <cellStyle name="Normal 6 3 3 54 4" xfId="25625"/>
    <cellStyle name="Normal 6 3 3 54 5" xfId="30586"/>
    <cellStyle name="Normal 6 3 3 54 6" xfId="35444"/>
    <cellStyle name="Normal 6 3 3 54 7" xfId="40175"/>
    <cellStyle name="Normal 6 3 3 55" xfId="8578"/>
    <cellStyle name="Normal 6 3 3 55 2" xfId="15659"/>
    <cellStyle name="Normal 6 3 3 55 3" xfId="20776"/>
    <cellStyle name="Normal 6 3 3 55 4" xfId="25819"/>
    <cellStyle name="Normal 6 3 3 55 5" xfId="30780"/>
    <cellStyle name="Normal 6 3 3 55 6" xfId="35638"/>
    <cellStyle name="Normal 6 3 3 55 7" xfId="40369"/>
    <cellStyle name="Normal 6 3 3 56" xfId="8592"/>
    <cellStyle name="Normal 6 3 3 56 2" xfId="15673"/>
    <cellStyle name="Normal 6 3 3 56 3" xfId="20790"/>
    <cellStyle name="Normal 6 3 3 56 4" xfId="25833"/>
    <cellStyle name="Normal 6 3 3 56 5" xfId="30794"/>
    <cellStyle name="Normal 6 3 3 56 6" xfId="35652"/>
    <cellStyle name="Normal 6 3 3 56 7" xfId="40383"/>
    <cellStyle name="Normal 6 3 3 57" xfId="8957"/>
    <cellStyle name="Normal 6 3 3 57 2" xfId="16038"/>
    <cellStyle name="Normal 6 3 3 57 3" xfId="21155"/>
    <cellStyle name="Normal 6 3 3 57 4" xfId="26198"/>
    <cellStyle name="Normal 6 3 3 57 5" xfId="31159"/>
    <cellStyle name="Normal 6 3 3 57 6" xfId="36017"/>
    <cellStyle name="Normal 6 3 3 57 7" xfId="40748"/>
    <cellStyle name="Normal 6 3 3 58" xfId="8798"/>
    <cellStyle name="Normal 6 3 3 58 2" xfId="15879"/>
    <cellStyle name="Normal 6 3 3 58 3" xfId="20996"/>
    <cellStyle name="Normal 6 3 3 58 4" xfId="26039"/>
    <cellStyle name="Normal 6 3 3 58 5" xfId="31000"/>
    <cellStyle name="Normal 6 3 3 58 6" xfId="35858"/>
    <cellStyle name="Normal 6 3 3 58 7" xfId="40589"/>
    <cellStyle name="Normal 6 3 3 59" xfId="8369"/>
    <cellStyle name="Normal 6 3 3 59 2" xfId="15450"/>
    <cellStyle name="Normal 6 3 3 59 3" xfId="20567"/>
    <cellStyle name="Normal 6 3 3 59 4" xfId="25610"/>
    <cellStyle name="Normal 6 3 3 59 5" xfId="30571"/>
    <cellStyle name="Normal 6 3 3 59 6" xfId="35429"/>
    <cellStyle name="Normal 6 3 3 59 7" xfId="40160"/>
    <cellStyle name="Normal 6 3 3 6" xfId="4479"/>
    <cellStyle name="Normal 6 3 3 6 2" xfId="6179"/>
    <cellStyle name="Normal 6 3 3 6 3" xfId="18283"/>
    <cellStyle name="Normal 6 3 3 6 4" xfId="23326"/>
    <cellStyle name="Normal 6 3 3 6 5" xfId="28287"/>
    <cellStyle name="Normal 6 3 3 6 6" xfId="33145"/>
    <cellStyle name="Normal 6 3 3 6 7" xfId="37876"/>
    <cellStyle name="Normal 6 3 3 60" xfId="8479"/>
    <cellStyle name="Normal 6 3 3 60 2" xfId="15560"/>
    <cellStyle name="Normal 6 3 3 60 3" xfId="20677"/>
    <cellStyle name="Normal 6 3 3 60 4" xfId="25720"/>
    <cellStyle name="Normal 6 3 3 60 5" xfId="30681"/>
    <cellStyle name="Normal 6 3 3 60 6" xfId="35539"/>
    <cellStyle name="Normal 6 3 3 60 7" xfId="40270"/>
    <cellStyle name="Normal 6 3 3 61" xfId="8387"/>
    <cellStyle name="Normal 6 3 3 61 2" xfId="15468"/>
    <cellStyle name="Normal 6 3 3 61 3" xfId="20585"/>
    <cellStyle name="Normal 6 3 3 61 4" xfId="25628"/>
    <cellStyle name="Normal 6 3 3 61 5" xfId="30589"/>
    <cellStyle name="Normal 6 3 3 61 6" xfId="35447"/>
    <cellStyle name="Normal 6 3 3 61 7" xfId="40178"/>
    <cellStyle name="Normal 6 3 3 62" xfId="8794"/>
    <cellStyle name="Normal 6 3 3 62 2" xfId="15875"/>
    <cellStyle name="Normal 6 3 3 62 3" xfId="20992"/>
    <cellStyle name="Normal 6 3 3 62 4" xfId="26035"/>
    <cellStyle name="Normal 6 3 3 62 5" xfId="30996"/>
    <cellStyle name="Normal 6 3 3 62 6" xfId="35854"/>
    <cellStyle name="Normal 6 3 3 62 7" xfId="40585"/>
    <cellStyle name="Normal 6 3 3 63" xfId="9400"/>
    <cellStyle name="Normal 6 3 3 63 2" xfId="16481"/>
    <cellStyle name="Normal 6 3 3 63 3" xfId="21598"/>
    <cellStyle name="Normal 6 3 3 63 4" xfId="26641"/>
    <cellStyle name="Normal 6 3 3 63 5" xfId="31602"/>
    <cellStyle name="Normal 6 3 3 63 6" xfId="36460"/>
    <cellStyle name="Normal 6 3 3 63 7" xfId="41191"/>
    <cellStyle name="Normal 6 3 3 64" xfId="9327"/>
    <cellStyle name="Normal 6 3 3 64 2" xfId="16408"/>
    <cellStyle name="Normal 6 3 3 64 3" xfId="21525"/>
    <cellStyle name="Normal 6 3 3 64 4" xfId="26568"/>
    <cellStyle name="Normal 6 3 3 64 5" xfId="31529"/>
    <cellStyle name="Normal 6 3 3 64 6" xfId="36387"/>
    <cellStyle name="Normal 6 3 3 64 7" xfId="41118"/>
    <cellStyle name="Normal 6 3 3 65" xfId="9287"/>
    <cellStyle name="Normal 6 3 3 65 2" xfId="16368"/>
    <cellStyle name="Normal 6 3 3 65 3" xfId="21485"/>
    <cellStyle name="Normal 6 3 3 65 4" xfId="26528"/>
    <cellStyle name="Normal 6 3 3 65 5" xfId="31489"/>
    <cellStyle name="Normal 6 3 3 65 6" xfId="36347"/>
    <cellStyle name="Normal 6 3 3 65 7" xfId="41078"/>
    <cellStyle name="Normal 6 3 3 66" xfId="9325"/>
    <cellStyle name="Normal 6 3 3 66 2" xfId="16406"/>
    <cellStyle name="Normal 6 3 3 66 3" xfId="21523"/>
    <cellStyle name="Normal 6 3 3 66 4" xfId="26566"/>
    <cellStyle name="Normal 6 3 3 66 5" xfId="31527"/>
    <cellStyle name="Normal 6 3 3 66 6" xfId="36385"/>
    <cellStyle name="Normal 6 3 3 66 7" xfId="41116"/>
    <cellStyle name="Normal 6 3 3 67" xfId="9363"/>
    <cellStyle name="Normal 6 3 3 67 2" xfId="16444"/>
    <cellStyle name="Normal 6 3 3 67 3" xfId="21561"/>
    <cellStyle name="Normal 6 3 3 67 4" xfId="26604"/>
    <cellStyle name="Normal 6 3 3 67 5" xfId="31565"/>
    <cellStyle name="Normal 6 3 3 67 6" xfId="36423"/>
    <cellStyle name="Normal 6 3 3 67 7" xfId="41154"/>
    <cellStyle name="Normal 6 3 3 68" xfId="9491"/>
    <cellStyle name="Normal 6 3 3 68 2" xfId="16572"/>
    <cellStyle name="Normal 6 3 3 68 3" xfId="21689"/>
    <cellStyle name="Normal 6 3 3 68 4" xfId="26732"/>
    <cellStyle name="Normal 6 3 3 68 5" xfId="31693"/>
    <cellStyle name="Normal 6 3 3 68 6" xfId="36551"/>
    <cellStyle name="Normal 6 3 3 68 7" xfId="41282"/>
    <cellStyle name="Normal 6 3 3 69" xfId="9181"/>
    <cellStyle name="Normal 6 3 3 69 2" xfId="16262"/>
    <cellStyle name="Normal 6 3 3 69 3" xfId="21379"/>
    <cellStyle name="Normal 6 3 3 69 4" xfId="26422"/>
    <cellStyle name="Normal 6 3 3 69 5" xfId="31383"/>
    <cellStyle name="Normal 6 3 3 69 6" xfId="36241"/>
    <cellStyle name="Normal 6 3 3 69 7" xfId="40972"/>
    <cellStyle name="Normal 6 3 3 7" xfId="4588"/>
    <cellStyle name="Normal 6 3 3 7 2" xfId="6343"/>
    <cellStyle name="Normal 6 3 3 7 3" xfId="18451"/>
    <cellStyle name="Normal 6 3 3 7 4" xfId="23494"/>
    <cellStyle name="Normal 6 3 3 7 5" xfId="28455"/>
    <cellStyle name="Normal 6 3 3 7 6" xfId="33313"/>
    <cellStyle name="Normal 6 3 3 7 7" xfId="38044"/>
    <cellStyle name="Normal 6 3 3 70" xfId="9333"/>
    <cellStyle name="Normal 6 3 3 70 2" xfId="16414"/>
    <cellStyle name="Normal 6 3 3 70 3" xfId="21531"/>
    <cellStyle name="Normal 6 3 3 70 4" xfId="26574"/>
    <cellStyle name="Normal 6 3 3 70 5" xfId="31535"/>
    <cellStyle name="Normal 6 3 3 70 6" xfId="36393"/>
    <cellStyle name="Normal 6 3 3 70 7" xfId="41124"/>
    <cellStyle name="Normal 6 3 3 71" xfId="9492"/>
    <cellStyle name="Normal 6 3 3 71 2" xfId="16573"/>
    <cellStyle name="Normal 6 3 3 71 3" xfId="21690"/>
    <cellStyle name="Normal 6 3 3 71 4" xfId="26733"/>
    <cellStyle name="Normal 6 3 3 71 5" xfId="31694"/>
    <cellStyle name="Normal 6 3 3 71 6" xfId="36552"/>
    <cellStyle name="Normal 6 3 3 71 7" xfId="41283"/>
    <cellStyle name="Normal 6 3 3 72" xfId="9516"/>
    <cellStyle name="Normal 6 3 3 72 2" xfId="16597"/>
    <cellStyle name="Normal 6 3 3 72 3" xfId="21714"/>
    <cellStyle name="Normal 6 3 3 72 4" xfId="26757"/>
    <cellStyle name="Normal 6 3 3 72 5" xfId="31718"/>
    <cellStyle name="Normal 6 3 3 72 6" xfId="36576"/>
    <cellStyle name="Normal 6 3 3 72 7" xfId="41307"/>
    <cellStyle name="Normal 6 3 3 73" xfId="9558"/>
    <cellStyle name="Normal 6 3 3 73 2" xfId="16639"/>
    <cellStyle name="Normal 6 3 3 73 3" xfId="21756"/>
    <cellStyle name="Normal 6 3 3 73 4" xfId="26799"/>
    <cellStyle name="Normal 6 3 3 73 5" xfId="31760"/>
    <cellStyle name="Normal 6 3 3 73 6" xfId="36618"/>
    <cellStyle name="Normal 6 3 3 73 7" xfId="41349"/>
    <cellStyle name="Normal 6 3 3 74" xfId="9069"/>
    <cellStyle name="Normal 6 3 3 74 2" xfId="16150"/>
    <cellStyle name="Normal 6 3 3 74 3" xfId="21267"/>
    <cellStyle name="Normal 6 3 3 74 4" xfId="26310"/>
    <cellStyle name="Normal 6 3 3 74 5" xfId="31271"/>
    <cellStyle name="Normal 6 3 3 74 6" xfId="36129"/>
    <cellStyle name="Normal 6 3 3 74 7" xfId="40860"/>
    <cellStyle name="Normal 6 3 3 75" xfId="9895"/>
    <cellStyle name="Normal 6 3 3 75 2" xfId="16976"/>
    <cellStyle name="Normal 6 3 3 75 3" xfId="22093"/>
    <cellStyle name="Normal 6 3 3 75 4" xfId="27136"/>
    <cellStyle name="Normal 6 3 3 75 5" xfId="32097"/>
    <cellStyle name="Normal 6 3 3 75 6" xfId="36955"/>
    <cellStyle name="Normal 6 3 3 75 7" xfId="41686"/>
    <cellStyle name="Normal 6 3 3 76" xfId="9851"/>
    <cellStyle name="Normal 6 3 3 76 2" xfId="16932"/>
    <cellStyle name="Normal 6 3 3 76 3" xfId="22049"/>
    <cellStyle name="Normal 6 3 3 76 4" xfId="27092"/>
    <cellStyle name="Normal 6 3 3 76 5" xfId="32053"/>
    <cellStyle name="Normal 6 3 3 76 6" xfId="36911"/>
    <cellStyle name="Normal 6 3 3 76 7" xfId="41642"/>
    <cellStyle name="Normal 6 3 3 77" xfId="9833"/>
    <cellStyle name="Normal 6 3 3 77 2" xfId="16914"/>
    <cellStyle name="Normal 6 3 3 77 3" xfId="22031"/>
    <cellStyle name="Normal 6 3 3 77 4" xfId="27074"/>
    <cellStyle name="Normal 6 3 3 77 5" xfId="32035"/>
    <cellStyle name="Normal 6 3 3 77 6" xfId="36893"/>
    <cellStyle name="Normal 6 3 3 77 7" xfId="41624"/>
    <cellStyle name="Normal 6 3 3 78" xfId="9850"/>
    <cellStyle name="Normal 6 3 3 78 2" xfId="16931"/>
    <cellStyle name="Normal 6 3 3 78 3" xfId="22048"/>
    <cellStyle name="Normal 6 3 3 78 4" xfId="27091"/>
    <cellStyle name="Normal 6 3 3 78 5" xfId="32052"/>
    <cellStyle name="Normal 6 3 3 78 6" xfId="36910"/>
    <cellStyle name="Normal 6 3 3 78 7" xfId="41641"/>
    <cellStyle name="Normal 6 3 3 79" xfId="9869"/>
    <cellStyle name="Normal 6 3 3 79 2" xfId="16950"/>
    <cellStyle name="Normal 6 3 3 79 3" xfId="22067"/>
    <cellStyle name="Normal 6 3 3 79 4" xfId="27110"/>
    <cellStyle name="Normal 6 3 3 79 5" xfId="32071"/>
    <cellStyle name="Normal 6 3 3 79 6" xfId="36929"/>
    <cellStyle name="Normal 6 3 3 79 7" xfId="41660"/>
    <cellStyle name="Normal 6 3 3 8" xfId="4553"/>
    <cellStyle name="Normal 6 3 3 8 2" xfId="5949"/>
    <cellStyle name="Normal 6 3 3 8 3" xfId="18051"/>
    <cellStyle name="Normal 6 3 3 8 4" xfId="23094"/>
    <cellStyle name="Normal 6 3 3 8 5" xfId="28055"/>
    <cellStyle name="Normal 6 3 3 8 6" xfId="32913"/>
    <cellStyle name="Normal 6 3 3 8 7" xfId="37644"/>
    <cellStyle name="Normal 6 3 3 80" xfId="9948"/>
    <cellStyle name="Normal 6 3 3 80 2" xfId="17029"/>
    <cellStyle name="Normal 6 3 3 80 3" xfId="22146"/>
    <cellStyle name="Normal 6 3 3 80 4" xfId="27189"/>
    <cellStyle name="Normal 6 3 3 80 5" xfId="32150"/>
    <cellStyle name="Normal 6 3 3 80 6" xfId="37008"/>
    <cellStyle name="Normal 6 3 3 80 7" xfId="41739"/>
    <cellStyle name="Normal 6 3 3 81" xfId="10225"/>
    <cellStyle name="Normal 6 3 3 81 2" xfId="17306"/>
    <cellStyle name="Normal 6 3 3 81 3" xfId="22423"/>
    <cellStyle name="Normal 6 3 3 81 4" xfId="27466"/>
    <cellStyle name="Normal 6 3 3 81 5" xfId="32427"/>
    <cellStyle name="Normal 6 3 3 81 6" xfId="37285"/>
    <cellStyle name="Normal 6 3 3 81 7" xfId="42016"/>
    <cellStyle name="Normal 6 3 3 82" xfId="10181"/>
    <cellStyle name="Normal 6 3 3 82 2" xfId="17262"/>
    <cellStyle name="Normal 6 3 3 82 3" xfId="22379"/>
    <cellStyle name="Normal 6 3 3 82 4" xfId="27422"/>
    <cellStyle name="Normal 6 3 3 82 5" xfId="32383"/>
    <cellStyle name="Normal 6 3 3 82 6" xfId="37241"/>
    <cellStyle name="Normal 6 3 3 82 7" xfId="41972"/>
    <cellStyle name="Normal 6 3 3 83" xfId="10163"/>
    <cellStyle name="Normal 6 3 3 83 2" xfId="17244"/>
    <cellStyle name="Normal 6 3 3 83 3" xfId="22361"/>
    <cellStyle name="Normal 6 3 3 83 4" xfId="27404"/>
    <cellStyle name="Normal 6 3 3 83 5" xfId="32365"/>
    <cellStyle name="Normal 6 3 3 83 6" xfId="37223"/>
    <cellStyle name="Normal 6 3 3 83 7" xfId="41954"/>
    <cellStyle name="Normal 6 3 3 84" xfId="10180"/>
    <cellStyle name="Normal 6 3 3 84 2" xfId="17261"/>
    <cellStyle name="Normal 6 3 3 84 3" xfId="22378"/>
    <cellStyle name="Normal 6 3 3 84 4" xfId="27421"/>
    <cellStyle name="Normal 6 3 3 84 5" xfId="32382"/>
    <cellStyle name="Normal 6 3 3 84 6" xfId="37240"/>
    <cellStyle name="Normal 6 3 3 84 7" xfId="41971"/>
    <cellStyle name="Normal 6 3 3 85" xfId="10199"/>
    <cellStyle name="Normal 6 3 3 85 2" xfId="17280"/>
    <cellStyle name="Normal 6 3 3 85 3" xfId="22397"/>
    <cellStyle name="Normal 6 3 3 85 4" xfId="27440"/>
    <cellStyle name="Normal 6 3 3 85 5" xfId="32401"/>
    <cellStyle name="Normal 6 3 3 85 6" xfId="37259"/>
    <cellStyle name="Normal 6 3 3 85 7" xfId="41990"/>
    <cellStyle name="Normal 6 3 3 86" xfId="10278"/>
    <cellStyle name="Normal 6 3 3 86 2" xfId="17359"/>
    <cellStyle name="Normal 6 3 3 86 3" xfId="22476"/>
    <cellStyle name="Normal 6 3 3 86 4" xfId="27519"/>
    <cellStyle name="Normal 6 3 3 86 5" xfId="32480"/>
    <cellStyle name="Normal 6 3 3 86 6" xfId="37338"/>
    <cellStyle name="Normal 6 3 3 86 7" xfId="42069"/>
    <cellStyle name="Normal 6 3 3 87" xfId="13057"/>
    <cellStyle name="Normal 6 3 3 88" xfId="11900"/>
    <cellStyle name="Normal 6 3 3 89" xfId="13643"/>
    <cellStyle name="Normal 6 3 3 9" xfId="4565"/>
    <cellStyle name="Normal 6 3 3 9 2" xfId="6138"/>
    <cellStyle name="Normal 6 3 3 9 3" xfId="18242"/>
    <cellStyle name="Normal 6 3 3 9 4" xfId="23285"/>
    <cellStyle name="Normal 6 3 3 9 5" xfId="28246"/>
    <cellStyle name="Normal 6 3 3 9 6" xfId="33104"/>
    <cellStyle name="Normal 6 3 3 9 7" xfId="37835"/>
    <cellStyle name="Normal 6 3 3 90" xfId="11286"/>
    <cellStyle name="Normal 6 3 3 91" xfId="12190"/>
    <cellStyle name="Normal 6 3 3 92" xfId="12703"/>
    <cellStyle name="Normal 6 3 30" xfId="5758"/>
    <cellStyle name="Normal 6 3 30 2" xfId="14318"/>
    <cellStyle name="Normal 6 3 30 3" xfId="19193"/>
    <cellStyle name="Normal 6 3 30 4" xfId="24236"/>
    <cellStyle name="Normal 6 3 30 5" xfId="29197"/>
    <cellStyle name="Normal 6 3 30 6" xfId="34055"/>
    <cellStyle name="Normal 6 3 30 7" xfId="38786"/>
    <cellStyle name="Normal 6 3 31" xfId="7072"/>
    <cellStyle name="Normal 6 3 31 2" xfId="14331"/>
    <cellStyle name="Normal 6 3 31 3" xfId="19216"/>
    <cellStyle name="Normal 6 3 31 4" xfId="24259"/>
    <cellStyle name="Normal 6 3 31 5" xfId="29220"/>
    <cellStyle name="Normal 6 3 31 6" xfId="34078"/>
    <cellStyle name="Normal 6 3 31 7" xfId="38809"/>
    <cellStyle name="Normal 6 3 32" xfId="7068"/>
    <cellStyle name="Normal 6 3 32 2" xfId="14330"/>
    <cellStyle name="Normal 6 3 32 3" xfId="19212"/>
    <cellStyle name="Normal 6 3 32 4" xfId="24255"/>
    <cellStyle name="Normal 6 3 32 5" xfId="29216"/>
    <cellStyle name="Normal 6 3 32 6" xfId="34074"/>
    <cellStyle name="Normal 6 3 32 7" xfId="38805"/>
    <cellStyle name="Normal 6 3 33" xfId="6884"/>
    <cellStyle name="Normal 6 3 33 2" xfId="14219"/>
    <cellStyle name="Normal 6 3 33 3" xfId="19006"/>
    <cellStyle name="Normal 6 3 33 4" xfId="24049"/>
    <cellStyle name="Normal 6 3 33 5" xfId="29010"/>
    <cellStyle name="Normal 6 3 33 6" xfId="33868"/>
    <cellStyle name="Normal 6 3 33 7" xfId="38599"/>
    <cellStyle name="Normal 6 3 34" xfId="7091"/>
    <cellStyle name="Normal 6 3 34 2" xfId="14337"/>
    <cellStyle name="Normal 6 3 34 3" xfId="19236"/>
    <cellStyle name="Normal 6 3 34 4" xfId="24279"/>
    <cellStyle name="Normal 6 3 34 5" xfId="29240"/>
    <cellStyle name="Normal 6 3 34 6" xfId="34098"/>
    <cellStyle name="Normal 6 3 34 7" xfId="38829"/>
    <cellStyle name="Normal 6 3 35" xfId="7340"/>
    <cellStyle name="Normal 6 3 35 2" xfId="14462"/>
    <cellStyle name="Normal 6 3 35 3" xfId="19512"/>
    <cellStyle name="Normal 6 3 35 4" xfId="24555"/>
    <cellStyle name="Normal 6 3 35 5" xfId="29516"/>
    <cellStyle name="Normal 6 3 35 6" xfId="34374"/>
    <cellStyle name="Normal 6 3 35 7" xfId="39105"/>
    <cellStyle name="Normal 6 3 36" xfId="7650"/>
    <cellStyle name="Normal 6 3 36 2" xfId="14730"/>
    <cellStyle name="Normal 6 3 36 3" xfId="19847"/>
    <cellStyle name="Normal 6 3 36 4" xfId="24890"/>
    <cellStyle name="Normal 6 3 36 5" xfId="29851"/>
    <cellStyle name="Normal 6 3 36 6" xfId="34709"/>
    <cellStyle name="Normal 6 3 36 7" xfId="39440"/>
    <cellStyle name="Normal 6 3 37" xfId="8078"/>
    <cellStyle name="Normal 6 3 37 2" xfId="15158"/>
    <cellStyle name="Normal 6 3 37 3" xfId="20275"/>
    <cellStyle name="Normal 6 3 37 4" xfId="25318"/>
    <cellStyle name="Normal 6 3 37 5" xfId="30279"/>
    <cellStyle name="Normal 6 3 37 6" xfId="35137"/>
    <cellStyle name="Normal 6 3 37 7" xfId="39868"/>
    <cellStyle name="Normal 6 3 38" xfId="7825"/>
    <cellStyle name="Normal 6 3 38 2" xfId="14905"/>
    <cellStyle name="Normal 6 3 38 3" xfId="20022"/>
    <cellStyle name="Normal 6 3 38 4" xfId="25065"/>
    <cellStyle name="Normal 6 3 38 5" xfId="30026"/>
    <cellStyle name="Normal 6 3 38 6" xfId="34884"/>
    <cellStyle name="Normal 6 3 38 7" xfId="39615"/>
    <cellStyle name="Normal 6 3 39" xfId="8071"/>
    <cellStyle name="Normal 6 3 39 2" xfId="15151"/>
    <cellStyle name="Normal 6 3 39 3" xfId="20268"/>
    <cellStyle name="Normal 6 3 39 4" xfId="25311"/>
    <cellStyle name="Normal 6 3 39 5" xfId="30272"/>
    <cellStyle name="Normal 6 3 39 6" xfId="35130"/>
    <cellStyle name="Normal 6 3 39 7" xfId="39861"/>
    <cellStyle name="Normal 6 3 4" xfId="4248"/>
    <cellStyle name="Normal 6 3 4 2" xfId="6002"/>
    <cellStyle name="Normal 6 3 4 3" xfId="18105"/>
    <cellStyle name="Normal 6 3 4 4" xfId="23148"/>
    <cellStyle name="Normal 6 3 4 5" xfId="28109"/>
    <cellStyle name="Normal 6 3 4 6" xfId="32967"/>
    <cellStyle name="Normal 6 3 4 7" xfId="37698"/>
    <cellStyle name="Normal 6 3 40" xfId="7734"/>
    <cellStyle name="Normal 6 3 40 2" xfId="14814"/>
    <cellStyle name="Normal 6 3 40 3" xfId="19931"/>
    <cellStyle name="Normal 6 3 40 4" xfId="24974"/>
    <cellStyle name="Normal 6 3 40 5" xfId="29935"/>
    <cellStyle name="Normal 6 3 40 6" xfId="34793"/>
    <cellStyle name="Normal 6 3 40 7" xfId="39524"/>
    <cellStyle name="Normal 6 3 41" xfId="8037"/>
    <cellStyle name="Normal 6 3 41 2" xfId="15117"/>
    <cellStyle name="Normal 6 3 41 3" xfId="20234"/>
    <cellStyle name="Normal 6 3 41 4" xfId="25277"/>
    <cellStyle name="Normal 6 3 41 5" xfId="30238"/>
    <cellStyle name="Normal 6 3 41 6" xfId="35096"/>
    <cellStyle name="Normal 6 3 41 7" xfId="39827"/>
    <cellStyle name="Normal 6 3 42" xfId="7683"/>
    <cellStyle name="Normal 6 3 42 2" xfId="14763"/>
    <cellStyle name="Normal 6 3 42 3" xfId="19880"/>
    <cellStyle name="Normal 6 3 42 4" xfId="24923"/>
    <cellStyle name="Normal 6 3 42 5" xfId="29884"/>
    <cellStyle name="Normal 6 3 42 6" xfId="34742"/>
    <cellStyle name="Normal 6 3 42 7" xfId="39473"/>
    <cellStyle name="Normal 6 3 43" xfId="7712"/>
    <cellStyle name="Normal 6 3 43 2" xfId="14792"/>
    <cellStyle name="Normal 6 3 43 3" xfId="19909"/>
    <cellStyle name="Normal 6 3 43 4" xfId="24952"/>
    <cellStyle name="Normal 6 3 43 5" xfId="29913"/>
    <cellStyle name="Normal 6 3 43 6" xfId="34771"/>
    <cellStyle name="Normal 6 3 43 7" xfId="39502"/>
    <cellStyle name="Normal 6 3 44" xfId="7708"/>
    <cellStyle name="Normal 6 3 44 2" xfId="14788"/>
    <cellStyle name="Normal 6 3 44 3" xfId="19905"/>
    <cellStyle name="Normal 6 3 44 4" xfId="24948"/>
    <cellStyle name="Normal 6 3 44 5" xfId="29909"/>
    <cellStyle name="Normal 6 3 44 6" xfId="34767"/>
    <cellStyle name="Normal 6 3 44 7" xfId="39498"/>
    <cellStyle name="Normal 6 3 45" xfId="7474"/>
    <cellStyle name="Normal 6 3 45 2" xfId="14549"/>
    <cellStyle name="Normal 6 3 45 3" xfId="19666"/>
    <cellStyle name="Normal 6 3 45 4" xfId="24709"/>
    <cellStyle name="Normal 6 3 45 5" xfId="29670"/>
    <cellStyle name="Normal 6 3 45 6" xfId="34528"/>
    <cellStyle name="Normal 6 3 45 7" xfId="39259"/>
    <cellStyle name="Normal 6 3 46" xfId="7733"/>
    <cellStyle name="Normal 6 3 46 2" xfId="14813"/>
    <cellStyle name="Normal 6 3 46 3" xfId="19930"/>
    <cellStyle name="Normal 6 3 46 4" xfId="24973"/>
    <cellStyle name="Normal 6 3 46 5" xfId="29934"/>
    <cellStyle name="Normal 6 3 46 6" xfId="34792"/>
    <cellStyle name="Normal 6 3 46 7" xfId="39523"/>
    <cellStyle name="Normal 6 3 47" xfId="8057"/>
    <cellStyle name="Normal 6 3 47 2" xfId="15137"/>
    <cellStyle name="Normal 6 3 47 3" xfId="20254"/>
    <cellStyle name="Normal 6 3 47 4" xfId="25297"/>
    <cellStyle name="Normal 6 3 47 5" xfId="30258"/>
    <cellStyle name="Normal 6 3 47 6" xfId="35116"/>
    <cellStyle name="Normal 6 3 47 7" xfId="39847"/>
    <cellStyle name="Normal 6 3 48" xfId="7657"/>
    <cellStyle name="Normal 6 3 48 2" xfId="14737"/>
    <cellStyle name="Normal 6 3 48 3" xfId="19854"/>
    <cellStyle name="Normal 6 3 48 4" xfId="24897"/>
    <cellStyle name="Normal 6 3 48 5" xfId="29858"/>
    <cellStyle name="Normal 6 3 48 6" xfId="34716"/>
    <cellStyle name="Normal 6 3 48 7" xfId="39447"/>
    <cellStyle name="Normal 6 3 49" xfId="7978"/>
    <cellStyle name="Normal 6 3 49 2" xfId="15058"/>
    <cellStyle name="Normal 6 3 49 3" xfId="20175"/>
    <cellStyle name="Normal 6 3 49 4" xfId="25218"/>
    <cellStyle name="Normal 6 3 49 5" xfId="30179"/>
    <cellStyle name="Normal 6 3 49 6" xfId="35037"/>
    <cellStyle name="Normal 6 3 49 7" xfId="39768"/>
    <cellStyle name="Normal 6 3 5" xfId="4347"/>
    <cellStyle name="Normal 6 3 5 2" xfId="6479"/>
    <cellStyle name="Normal 6 3 5 3" xfId="18589"/>
    <cellStyle name="Normal 6 3 5 4" xfId="23632"/>
    <cellStyle name="Normal 6 3 5 5" xfId="28593"/>
    <cellStyle name="Normal 6 3 5 6" xfId="33451"/>
    <cellStyle name="Normal 6 3 5 7" xfId="38182"/>
    <cellStyle name="Normal 6 3 50" xfId="8423"/>
    <cellStyle name="Normal 6 3 50 2" xfId="15504"/>
    <cellStyle name="Normal 6 3 50 3" xfId="20621"/>
    <cellStyle name="Normal 6 3 50 4" xfId="25664"/>
    <cellStyle name="Normal 6 3 50 5" xfId="30625"/>
    <cellStyle name="Normal 6 3 50 6" xfId="35483"/>
    <cellStyle name="Normal 6 3 50 7" xfId="40214"/>
    <cellStyle name="Normal 6 3 51" xfId="8876"/>
    <cellStyle name="Normal 6 3 51 2" xfId="15957"/>
    <cellStyle name="Normal 6 3 51 3" xfId="21074"/>
    <cellStyle name="Normal 6 3 51 4" xfId="26117"/>
    <cellStyle name="Normal 6 3 51 5" xfId="31078"/>
    <cellStyle name="Normal 6 3 51 6" xfId="35936"/>
    <cellStyle name="Normal 6 3 51 7" xfId="40667"/>
    <cellStyle name="Normal 6 3 52" xfId="8619"/>
    <cellStyle name="Normal 6 3 52 2" xfId="15700"/>
    <cellStyle name="Normal 6 3 52 3" xfId="20817"/>
    <cellStyle name="Normal 6 3 52 4" xfId="25860"/>
    <cellStyle name="Normal 6 3 52 5" xfId="30821"/>
    <cellStyle name="Normal 6 3 52 6" xfId="35679"/>
    <cellStyle name="Normal 6 3 52 7" xfId="40410"/>
    <cellStyle name="Normal 6 3 53" xfId="8868"/>
    <cellStyle name="Normal 6 3 53 2" xfId="15949"/>
    <cellStyle name="Normal 6 3 53 3" xfId="21066"/>
    <cellStyle name="Normal 6 3 53 4" xfId="26109"/>
    <cellStyle name="Normal 6 3 53 5" xfId="31070"/>
    <cellStyle name="Normal 6 3 53 6" xfId="35928"/>
    <cellStyle name="Normal 6 3 53 7" xfId="40659"/>
    <cellStyle name="Normal 6 3 54" xfId="8517"/>
    <cellStyle name="Normal 6 3 54 2" xfId="15598"/>
    <cellStyle name="Normal 6 3 54 3" xfId="20715"/>
    <cellStyle name="Normal 6 3 54 4" xfId="25758"/>
    <cellStyle name="Normal 6 3 54 5" xfId="30719"/>
    <cellStyle name="Normal 6 3 54 6" xfId="35577"/>
    <cellStyle name="Normal 6 3 54 7" xfId="40308"/>
    <cellStyle name="Normal 6 3 55" xfId="8834"/>
    <cellStyle name="Normal 6 3 55 2" xfId="15915"/>
    <cellStyle name="Normal 6 3 55 3" xfId="21032"/>
    <cellStyle name="Normal 6 3 55 4" xfId="26075"/>
    <cellStyle name="Normal 6 3 55 5" xfId="31036"/>
    <cellStyle name="Normal 6 3 55 6" xfId="35894"/>
    <cellStyle name="Normal 6 3 55 7" xfId="40625"/>
    <cellStyle name="Normal 6 3 56" xfId="8467"/>
    <cellStyle name="Normal 6 3 56 2" xfId="15548"/>
    <cellStyle name="Normal 6 3 56 3" xfId="20665"/>
    <cellStyle name="Normal 6 3 56 4" xfId="25708"/>
    <cellStyle name="Normal 6 3 56 5" xfId="30669"/>
    <cellStyle name="Normal 6 3 56 6" xfId="35527"/>
    <cellStyle name="Normal 6 3 56 7" xfId="40258"/>
    <cellStyle name="Normal 6 3 57" xfId="8695"/>
    <cellStyle name="Normal 6 3 57 2" xfId="15776"/>
    <cellStyle name="Normal 6 3 57 3" xfId="20893"/>
    <cellStyle name="Normal 6 3 57 4" xfId="25936"/>
    <cellStyle name="Normal 6 3 57 5" xfId="30897"/>
    <cellStyle name="Normal 6 3 57 6" xfId="35755"/>
    <cellStyle name="Normal 6 3 57 7" xfId="40486"/>
    <cellStyle name="Normal 6 3 58" xfId="8293"/>
    <cellStyle name="Normal 6 3 58 2" xfId="15374"/>
    <cellStyle name="Normal 6 3 58 3" xfId="20491"/>
    <cellStyle name="Normal 6 3 58 4" xfId="25534"/>
    <cellStyle name="Normal 6 3 58 5" xfId="30495"/>
    <cellStyle name="Normal 6 3 58 6" xfId="35353"/>
    <cellStyle name="Normal 6 3 58 7" xfId="40084"/>
    <cellStyle name="Normal 6 3 59" xfId="8260"/>
    <cellStyle name="Normal 6 3 59 2" xfId="15341"/>
    <cellStyle name="Normal 6 3 59 3" xfId="20458"/>
    <cellStyle name="Normal 6 3 59 4" xfId="25501"/>
    <cellStyle name="Normal 6 3 59 5" xfId="30462"/>
    <cellStyle name="Normal 6 3 59 6" xfId="35320"/>
    <cellStyle name="Normal 6 3 59 7" xfId="40051"/>
    <cellStyle name="Normal 6 3 6" xfId="4354"/>
    <cellStyle name="Normal 6 3 6 2" xfId="6197"/>
    <cellStyle name="Normal 6 3 6 3" xfId="18301"/>
    <cellStyle name="Normal 6 3 6 4" xfId="23344"/>
    <cellStyle name="Normal 6 3 6 5" xfId="28305"/>
    <cellStyle name="Normal 6 3 6 6" xfId="33163"/>
    <cellStyle name="Normal 6 3 6 7" xfId="37894"/>
    <cellStyle name="Normal 6 3 60" xfId="8563"/>
    <cellStyle name="Normal 6 3 60 2" xfId="15644"/>
    <cellStyle name="Normal 6 3 60 3" xfId="20761"/>
    <cellStyle name="Normal 6 3 60 4" xfId="25804"/>
    <cellStyle name="Normal 6 3 60 5" xfId="30765"/>
    <cellStyle name="Normal 6 3 60 6" xfId="35623"/>
    <cellStyle name="Normal 6 3 60 7" xfId="40354"/>
    <cellStyle name="Normal 6 3 61" xfId="8344"/>
    <cellStyle name="Normal 6 3 61 2" xfId="15425"/>
    <cellStyle name="Normal 6 3 61 3" xfId="20542"/>
    <cellStyle name="Normal 6 3 61 4" xfId="25585"/>
    <cellStyle name="Normal 6 3 61 5" xfId="30546"/>
    <cellStyle name="Normal 6 3 61 6" xfId="35404"/>
    <cellStyle name="Normal 6 3 61 7" xfId="40135"/>
    <cellStyle name="Normal 6 3 62" xfId="8982"/>
    <cellStyle name="Normal 6 3 62 2" xfId="16063"/>
    <cellStyle name="Normal 6 3 62 3" xfId="21180"/>
    <cellStyle name="Normal 6 3 62 4" xfId="26223"/>
    <cellStyle name="Normal 6 3 62 5" xfId="31184"/>
    <cellStyle name="Normal 6 3 62 6" xfId="36042"/>
    <cellStyle name="Normal 6 3 62 7" xfId="40773"/>
    <cellStyle name="Normal 6 3 63" xfId="8662"/>
    <cellStyle name="Normal 6 3 63 2" xfId="15743"/>
    <cellStyle name="Normal 6 3 63 3" xfId="20860"/>
    <cellStyle name="Normal 6 3 63 4" xfId="25903"/>
    <cellStyle name="Normal 6 3 63 5" xfId="30864"/>
    <cellStyle name="Normal 6 3 63 6" xfId="35722"/>
    <cellStyle name="Normal 6 3 63 7" xfId="40453"/>
    <cellStyle name="Normal 6 3 64" xfId="8707"/>
    <cellStyle name="Normal 6 3 64 2" xfId="15788"/>
    <cellStyle name="Normal 6 3 64 3" xfId="20905"/>
    <cellStyle name="Normal 6 3 64 4" xfId="25948"/>
    <cellStyle name="Normal 6 3 64 5" xfId="30909"/>
    <cellStyle name="Normal 6 3 64 6" xfId="35767"/>
    <cellStyle name="Normal 6 3 64 7" xfId="40498"/>
    <cellStyle name="Normal 6 3 65" xfId="9222"/>
    <cellStyle name="Normal 6 3 65 2" xfId="16303"/>
    <cellStyle name="Normal 6 3 65 3" xfId="21420"/>
    <cellStyle name="Normal 6 3 65 4" xfId="26463"/>
    <cellStyle name="Normal 6 3 65 5" xfId="31424"/>
    <cellStyle name="Normal 6 3 65 6" xfId="36282"/>
    <cellStyle name="Normal 6 3 65 7" xfId="41013"/>
    <cellStyle name="Normal 6 3 66" xfId="9589"/>
    <cellStyle name="Normal 6 3 66 2" xfId="16670"/>
    <cellStyle name="Normal 6 3 66 3" xfId="21787"/>
    <cellStyle name="Normal 6 3 66 4" xfId="26830"/>
    <cellStyle name="Normal 6 3 66 5" xfId="31791"/>
    <cellStyle name="Normal 6 3 66 6" xfId="36649"/>
    <cellStyle name="Normal 6 3 66 7" xfId="41380"/>
    <cellStyle name="Normal 6 3 67" xfId="9379"/>
    <cellStyle name="Normal 6 3 67 2" xfId="16460"/>
    <cellStyle name="Normal 6 3 67 3" xfId="21577"/>
    <cellStyle name="Normal 6 3 67 4" xfId="26620"/>
    <cellStyle name="Normal 6 3 67 5" xfId="31581"/>
    <cellStyle name="Normal 6 3 67 6" xfId="36439"/>
    <cellStyle name="Normal 6 3 67 7" xfId="41170"/>
    <cellStyle name="Normal 6 3 68" xfId="9583"/>
    <cellStyle name="Normal 6 3 68 2" xfId="16664"/>
    <cellStyle name="Normal 6 3 68 3" xfId="21781"/>
    <cellStyle name="Normal 6 3 68 4" xfId="26824"/>
    <cellStyle name="Normal 6 3 68 5" xfId="31785"/>
    <cellStyle name="Normal 6 3 68 6" xfId="36643"/>
    <cellStyle name="Normal 6 3 68 7" xfId="41374"/>
    <cellStyle name="Normal 6 3 69" xfId="9297"/>
    <cellStyle name="Normal 6 3 69 2" xfId="16378"/>
    <cellStyle name="Normal 6 3 69 3" xfId="21495"/>
    <cellStyle name="Normal 6 3 69 4" xfId="26538"/>
    <cellStyle name="Normal 6 3 69 5" xfId="31499"/>
    <cellStyle name="Normal 6 3 69 6" xfId="36357"/>
    <cellStyle name="Normal 6 3 69 7" xfId="41088"/>
    <cellStyle name="Normal 6 3 7" xfId="4390"/>
    <cellStyle name="Normal 6 3 7 2" xfId="6470"/>
    <cellStyle name="Normal 6 3 7 3" xfId="18580"/>
    <cellStyle name="Normal 6 3 7 4" xfId="23623"/>
    <cellStyle name="Normal 6 3 7 5" xfId="28584"/>
    <cellStyle name="Normal 6 3 7 6" xfId="33442"/>
    <cellStyle name="Normal 6 3 7 7" xfId="38173"/>
    <cellStyle name="Normal 6 3 70" xfId="9557"/>
    <cellStyle name="Normal 6 3 70 2" xfId="16638"/>
    <cellStyle name="Normal 6 3 70 3" xfId="21755"/>
    <cellStyle name="Normal 6 3 70 4" xfId="26798"/>
    <cellStyle name="Normal 6 3 70 5" xfId="31759"/>
    <cellStyle name="Normal 6 3 70 6" xfId="36617"/>
    <cellStyle name="Normal 6 3 70 7" xfId="41348"/>
    <cellStyle name="Normal 6 3 71" xfId="9253"/>
    <cellStyle name="Normal 6 3 71 2" xfId="16334"/>
    <cellStyle name="Normal 6 3 71 3" xfId="21451"/>
    <cellStyle name="Normal 6 3 71 4" xfId="26494"/>
    <cellStyle name="Normal 6 3 71 5" xfId="31455"/>
    <cellStyle name="Normal 6 3 71 6" xfId="36313"/>
    <cellStyle name="Normal 6 3 71 7" xfId="41044"/>
    <cellStyle name="Normal 6 3 72" xfId="9276"/>
    <cellStyle name="Normal 6 3 72 2" xfId="16357"/>
    <cellStyle name="Normal 6 3 72 3" xfId="21474"/>
    <cellStyle name="Normal 6 3 72 4" xfId="26517"/>
    <cellStyle name="Normal 6 3 72 5" xfId="31478"/>
    <cellStyle name="Normal 6 3 72 6" xfId="36336"/>
    <cellStyle name="Normal 6 3 72 7" xfId="41067"/>
    <cellStyle name="Normal 6 3 73" xfId="9272"/>
    <cellStyle name="Normal 6 3 73 2" xfId="16353"/>
    <cellStyle name="Normal 6 3 73 3" xfId="21470"/>
    <cellStyle name="Normal 6 3 73 4" xfId="26513"/>
    <cellStyle name="Normal 6 3 73 5" xfId="31474"/>
    <cellStyle name="Normal 6 3 73 6" xfId="36332"/>
    <cellStyle name="Normal 6 3 73 7" xfId="41063"/>
    <cellStyle name="Normal 6 3 74" xfId="9066"/>
    <cellStyle name="Normal 6 3 74 2" xfId="16147"/>
    <cellStyle name="Normal 6 3 74 3" xfId="21264"/>
    <cellStyle name="Normal 6 3 74 4" xfId="26307"/>
    <cellStyle name="Normal 6 3 74 5" xfId="31268"/>
    <cellStyle name="Normal 6 3 74 6" xfId="36126"/>
    <cellStyle name="Normal 6 3 74 7" xfId="40857"/>
    <cellStyle name="Normal 6 3 75" xfId="9296"/>
    <cellStyle name="Normal 6 3 75 2" xfId="16377"/>
    <cellStyle name="Normal 6 3 75 3" xfId="21494"/>
    <cellStyle name="Normal 6 3 75 4" xfId="26537"/>
    <cellStyle name="Normal 6 3 75 5" xfId="31498"/>
    <cellStyle name="Normal 6 3 75 6" xfId="36356"/>
    <cellStyle name="Normal 6 3 75 7" xfId="41087"/>
    <cellStyle name="Normal 6 3 76" xfId="9572"/>
    <cellStyle name="Normal 6 3 76 2" xfId="16653"/>
    <cellStyle name="Normal 6 3 76 3" xfId="21770"/>
    <cellStyle name="Normal 6 3 76 4" xfId="26813"/>
    <cellStyle name="Normal 6 3 76 5" xfId="31774"/>
    <cellStyle name="Normal 6 3 76 6" xfId="36632"/>
    <cellStyle name="Normal 6 3 76 7" xfId="41363"/>
    <cellStyle name="Normal 6 3 77" xfId="9799"/>
    <cellStyle name="Normal 6 3 77 2" xfId="16880"/>
    <cellStyle name="Normal 6 3 77 3" xfId="21997"/>
    <cellStyle name="Normal 6 3 77 4" xfId="27040"/>
    <cellStyle name="Normal 6 3 77 5" xfId="32001"/>
    <cellStyle name="Normal 6 3 77 6" xfId="36859"/>
    <cellStyle name="Normal 6 3 77 7" xfId="41590"/>
    <cellStyle name="Normal 6 3 78" xfId="9990"/>
    <cellStyle name="Normal 6 3 78 2" xfId="17071"/>
    <cellStyle name="Normal 6 3 78 3" xfId="22188"/>
    <cellStyle name="Normal 6 3 78 4" xfId="27231"/>
    <cellStyle name="Normal 6 3 78 5" xfId="32192"/>
    <cellStyle name="Normal 6 3 78 6" xfId="37050"/>
    <cellStyle name="Normal 6 3 78 7" xfId="41781"/>
    <cellStyle name="Normal 6 3 79" xfId="9876"/>
    <cellStyle name="Normal 6 3 79 2" xfId="16957"/>
    <cellStyle name="Normal 6 3 79 3" xfId="22074"/>
    <cellStyle name="Normal 6 3 79 4" xfId="27117"/>
    <cellStyle name="Normal 6 3 79 5" xfId="32078"/>
    <cellStyle name="Normal 6 3 79 6" xfId="36936"/>
    <cellStyle name="Normal 6 3 79 7" xfId="41667"/>
    <cellStyle name="Normal 6 3 8" xfId="4446"/>
    <cellStyle name="Normal 6 3 8 2" xfId="6093"/>
    <cellStyle name="Normal 6 3 8 3" xfId="18197"/>
    <cellStyle name="Normal 6 3 8 4" xfId="23240"/>
    <cellStyle name="Normal 6 3 8 5" xfId="28201"/>
    <cellStyle name="Normal 6 3 8 6" xfId="33059"/>
    <cellStyle name="Normal 6 3 8 7" xfId="37790"/>
    <cellStyle name="Normal 6 3 80" xfId="9987"/>
    <cellStyle name="Normal 6 3 80 2" xfId="17068"/>
    <cellStyle name="Normal 6 3 80 3" xfId="22185"/>
    <cellStyle name="Normal 6 3 80 4" xfId="27228"/>
    <cellStyle name="Normal 6 3 80 5" xfId="32189"/>
    <cellStyle name="Normal 6 3 80 6" xfId="37047"/>
    <cellStyle name="Normal 6 3 80 7" xfId="41778"/>
    <cellStyle name="Normal 6 3 81" xfId="9838"/>
    <cellStyle name="Normal 6 3 81 2" xfId="16919"/>
    <cellStyle name="Normal 6 3 81 3" xfId="22036"/>
    <cellStyle name="Normal 6 3 81 4" xfId="27079"/>
    <cellStyle name="Normal 6 3 81 5" xfId="32040"/>
    <cellStyle name="Normal 6 3 81 6" xfId="36898"/>
    <cellStyle name="Normal 6 3 81 7" xfId="41629"/>
    <cellStyle name="Normal 6 3 82" xfId="9978"/>
    <cellStyle name="Normal 6 3 82 2" xfId="17059"/>
    <cellStyle name="Normal 6 3 82 3" xfId="22176"/>
    <cellStyle name="Normal 6 3 82 4" xfId="27219"/>
    <cellStyle name="Normal 6 3 82 5" xfId="32180"/>
    <cellStyle name="Normal 6 3 82 6" xfId="37038"/>
    <cellStyle name="Normal 6 3 82 7" xfId="41769"/>
    <cellStyle name="Normal 6 3 83" xfId="10129"/>
    <cellStyle name="Normal 6 3 83 2" xfId="17210"/>
    <cellStyle name="Normal 6 3 83 3" xfId="22327"/>
    <cellStyle name="Normal 6 3 83 4" xfId="27370"/>
    <cellStyle name="Normal 6 3 83 5" xfId="32331"/>
    <cellStyle name="Normal 6 3 83 6" xfId="37189"/>
    <cellStyle name="Normal 6 3 83 7" xfId="41920"/>
    <cellStyle name="Normal 6 3 84" xfId="10320"/>
    <cellStyle name="Normal 6 3 84 2" xfId="17401"/>
    <cellStyle name="Normal 6 3 84 3" xfId="22518"/>
    <cellStyle name="Normal 6 3 84 4" xfId="27561"/>
    <cellStyle name="Normal 6 3 84 5" xfId="32522"/>
    <cellStyle name="Normal 6 3 84 6" xfId="37380"/>
    <cellStyle name="Normal 6 3 84 7" xfId="42111"/>
    <cellStyle name="Normal 6 3 85" xfId="10206"/>
    <cellStyle name="Normal 6 3 85 2" xfId="17287"/>
    <cellStyle name="Normal 6 3 85 3" xfId="22404"/>
    <cellStyle name="Normal 6 3 85 4" xfId="27447"/>
    <cellStyle name="Normal 6 3 85 5" xfId="32408"/>
    <cellStyle name="Normal 6 3 85 6" xfId="37266"/>
    <cellStyle name="Normal 6 3 85 7" xfId="41997"/>
    <cellStyle name="Normal 6 3 86" xfId="10317"/>
    <cellStyle name="Normal 6 3 86 2" xfId="17398"/>
    <cellStyle name="Normal 6 3 86 3" xfId="22515"/>
    <cellStyle name="Normal 6 3 86 4" xfId="27558"/>
    <cellStyle name="Normal 6 3 86 5" xfId="32519"/>
    <cellStyle name="Normal 6 3 86 6" xfId="37377"/>
    <cellStyle name="Normal 6 3 86 7" xfId="42108"/>
    <cellStyle name="Normal 6 3 87" xfId="10168"/>
    <cellStyle name="Normal 6 3 87 2" xfId="17249"/>
    <cellStyle name="Normal 6 3 87 3" xfId="22366"/>
    <cellStyle name="Normal 6 3 87 4" xfId="27409"/>
    <cellStyle name="Normal 6 3 87 5" xfId="32370"/>
    <cellStyle name="Normal 6 3 87 6" xfId="37228"/>
    <cellStyle name="Normal 6 3 87 7" xfId="41959"/>
    <cellStyle name="Normal 6 3 88" xfId="10308"/>
    <cellStyle name="Normal 6 3 88 2" xfId="17389"/>
    <cellStyle name="Normal 6 3 88 3" xfId="22506"/>
    <cellStyle name="Normal 6 3 88 4" xfId="27549"/>
    <cellStyle name="Normal 6 3 88 5" xfId="32510"/>
    <cellStyle name="Normal 6 3 88 6" xfId="37368"/>
    <cellStyle name="Normal 6 3 88 7" xfId="42099"/>
    <cellStyle name="Normal 6 3 89" xfId="12230"/>
    <cellStyle name="Normal 6 3 9" xfId="4530"/>
    <cellStyle name="Normal 6 3 9 2" xfId="6431"/>
    <cellStyle name="Normal 6 3 9 3" xfId="18541"/>
    <cellStyle name="Normal 6 3 9 4" xfId="23584"/>
    <cellStyle name="Normal 6 3 9 5" xfId="28545"/>
    <cellStyle name="Normal 6 3 9 6" xfId="33403"/>
    <cellStyle name="Normal 6 3 9 7" xfId="38134"/>
    <cellStyle name="Normal 6 3 90" xfId="11680"/>
    <cellStyle name="Normal 6 3 91" xfId="12729"/>
    <cellStyle name="Normal 6 3 92" xfId="12965"/>
    <cellStyle name="Normal 6 3 93" xfId="12533"/>
    <cellStyle name="Normal 6 3 94" xfId="12156"/>
    <cellStyle name="Normal 6 4" xfId="1309"/>
    <cellStyle name="Normal 6 4 10" xfId="4548"/>
    <cellStyle name="Normal 6 4 10 2" xfId="6433"/>
    <cellStyle name="Normal 6 4 10 3" xfId="18543"/>
    <cellStyle name="Normal 6 4 10 4" xfId="23586"/>
    <cellStyle name="Normal 6 4 10 5" xfId="28547"/>
    <cellStyle name="Normal 6 4 10 6" xfId="33405"/>
    <cellStyle name="Normal 6 4 10 7" xfId="38136"/>
    <cellStyle name="Normal 6 4 11" xfId="4605"/>
    <cellStyle name="Normal 6 4 11 2" xfId="5956"/>
    <cellStyle name="Normal 6 4 11 3" xfId="18058"/>
    <cellStyle name="Normal 6 4 11 4" xfId="23101"/>
    <cellStyle name="Normal 6 4 11 5" xfId="28062"/>
    <cellStyle name="Normal 6 4 11 6" xfId="32920"/>
    <cellStyle name="Normal 6 4 11 7" xfId="37651"/>
    <cellStyle name="Normal 6 4 12" xfId="4673"/>
    <cellStyle name="Normal 6 4 12 2" xfId="6485"/>
    <cellStyle name="Normal 6 4 12 3" xfId="18595"/>
    <cellStyle name="Normal 6 4 12 4" xfId="23638"/>
    <cellStyle name="Normal 6 4 12 5" xfId="28599"/>
    <cellStyle name="Normal 6 4 12 6" xfId="33457"/>
    <cellStyle name="Normal 6 4 12 7" xfId="38188"/>
    <cellStyle name="Normal 6 4 13" xfId="4793"/>
    <cellStyle name="Normal 6 4 13 2" xfId="6494"/>
    <cellStyle name="Normal 6 4 13 3" xfId="18612"/>
    <cellStyle name="Normal 6 4 13 4" xfId="23655"/>
    <cellStyle name="Normal 6 4 13 5" xfId="28616"/>
    <cellStyle name="Normal 6 4 13 6" xfId="33474"/>
    <cellStyle name="Normal 6 4 13 7" xfId="38205"/>
    <cellStyle name="Normal 6 4 14" xfId="4822"/>
    <cellStyle name="Normal 6 4 14 2" xfId="6510"/>
    <cellStyle name="Normal 6 4 14 3" xfId="18628"/>
    <cellStyle name="Normal 6 4 14 4" xfId="23671"/>
    <cellStyle name="Normal 6 4 14 5" xfId="28632"/>
    <cellStyle name="Normal 6 4 14 6" xfId="33490"/>
    <cellStyle name="Normal 6 4 14 7" xfId="38221"/>
    <cellStyle name="Normal 6 4 15" xfId="4873"/>
    <cellStyle name="Normal 6 4 15 2" xfId="6525"/>
    <cellStyle name="Normal 6 4 15 3" xfId="18643"/>
    <cellStyle name="Normal 6 4 15 4" xfId="23686"/>
    <cellStyle name="Normal 6 4 15 5" xfId="28647"/>
    <cellStyle name="Normal 6 4 15 6" xfId="33505"/>
    <cellStyle name="Normal 6 4 15 7" xfId="38236"/>
    <cellStyle name="Normal 6 4 16" xfId="4776"/>
    <cellStyle name="Normal 6 4 16 2" xfId="6538"/>
    <cellStyle name="Normal 6 4 16 3" xfId="18656"/>
    <cellStyle name="Normal 6 4 16 4" xfId="23699"/>
    <cellStyle name="Normal 6 4 16 5" xfId="28660"/>
    <cellStyle name="Normal 6 4 16 6" xfId="33518"/>
    <cellStyle name="Normal 6 4 16 7" xfId="38249"/>
    <cellStyle name="Normal 6 4 17" xfId="5010"/>
    <cellStyle name="Normal 6 4 17 2" xfId="6551"/>
    <cellStyle name="Normal 6 4 17 3" xfId="18669"/>
    <cellStyle name="Normal 6 4 17 4" xfId="23712"/>
    <cellStyle name="Normal 6 4 17 5" xfId="28673"/>
    <cellStyle name="Normal 6 4 17 6" xfId="33531"/>
    <cellStyle name="Normal 6 4 17 7" xfId="38262"/>
    <cellStyle name="Normal 6 4 18" xfId="5041"/>
    <cellStyle name="Normal 6 4 18 2" xfId="6563"/>
    <cellStyle name="Normal 6 4 18 3" xfId="18681"/>
    <cellStyle name="Normal 6 4 18 4" xfId="23724"/>
    <cellStyle name="Normal 6 4 18 5" xfId="28685"/>
    <cellStyle name="Normal 6 4 18 6" xfId="33543"/>
    <cellStyle name="Normal 6 4 18 7" xfId="38274"/>
    <cellStyle name="Normal 6 4 19" xfId="4992"/>
    <cellStyle name="Normal 6 4 19 2" xfId="6574"/>
    <cellStyle name="Normal 6 4 19 3" xfId="18692"/>
    <cellStyle name="Normal 6 4 19 4" xfId="23735"/>
    <cellStyle name="Normal 6 4 19 5" xfId="28696"/>
    <cellStyle name="Normal 6 4 19 6" xfId="33554"/>
    <cellStyle name="Normal 6 4 19 7" xfId="38285"/>
    <cellStyle name="Normal 6 4 2" xfId="2486"/>
    <cellStyle name="Normal 6 4 2 10" xfId="4695"/>
    <cellStyle name="Normal 6 4 2 10 2" xfId="5919"/>
    <cellStyle name="Normal 6 4 2 10 3" xfId="18021"/>
    <cellStyle name="Normal 6 4 2 10 4" xfId="23064"/>
    <cellStyle name="Normal 6 4 2 10 5" xfId="28025"/>
    <cellStyle name="Normal 6 4 2 10 6" xfId="32883"/>
    <cellStyle name="Normal 6 4 2 10 7" xfId="37614"/>
    <cellStyle name="Normal 6 4 2 11" xfId="4851"/>
    <cellStyle name="Normal 6 4 2 11 2" xfId="5820"/>
    <cellStyle name="Normal 6 4 2 11 3" xfId="17919"/>
    <cellStyle name="Normal 6 4 2 11 4" xfId="22962"/>
    <cellStyle name="Normal 6 4 2 11 5" xfId="27923"/>
    <cellStyle name="Normal 6 4 2 11 6" xfId="32781"/>
    <cellStyle name="Normal 6 4 2 11 7" xfId="37512"/>
    <cellStyle name="Normal 6 4 2 12" xfId="4884"/>
    <cellStyle name="Normal 6 4 2 12 2" xfId="5879"/>
    <cellStyle name="Normal 6 4 2 12 3" xfId="17979"/>
    <cellStyle name="Normal 6 4 2 12 4" xfId="23022"/>
    <cellStyle name="Normal 6 4 2 12 5" xfId="27983"/>
    <cellStyle name="Normal 6 4 2 12 6" xfId="32841"/>
    <cellStyle name="Normal 6 4 2 12 7" xfId="37572"/>
    <cellStyle name="Normal 6 4 2 13" xfId="4804"/>
    <cellStyle name="Normal 6 4 2 13 2" xfId="6026"/>
    <cellStyle name="Normal 6 4 2 13 3" xfId="18130"/>
    <cellStyle name="Normal 6 4 2 13 4" xfId="23173"/>
    <cellStyle name="Normal 6 4 2 13 5" xfId="28134"/>
    <cellStyle name="Normal 6 4 2 13 6" xfId="32992"/>
    <cellStyle name="Normal 6 4 2 13 7" xfId="37723"/>
    <cellStyle name="Normal 6 4 2 14" xfId="4906"/>
    <cellStyle name="Normal 6 4 2 14 2" xfId="6175"/>
    <cellStyle name="Normal 6 4 2 14 3" xfId="18279"/>
    <cellStyle name="Normal 6 4 2 14 4" xfId="23322"/>
    <cellStyle name="Normal 6 4 2 14 5" xfId="28283"/>
    <cellStyle name="Normal 6 4 2 14 6" xfId="33141"/>
    <cellStyle name="Normal 6 4 2 14 7" xfId="37872"/>
    <cellStyle name="Normal 6 4 2 15" xfId="5076"/>
    <cellStyle name="Normal 6 4 2 15 2" xfId="6056"/>
    <cellStyle name="Normal 6 4 2 15 3" xfId="18160"/>
    <cellStyle name="Normal 6 4 2 15 4" xfId="23203"/>
    <cellStyle name="Normal 6 4 2 15 5" xfId="28164"/>
    <cellStyle name="Normal 6 4 2 15 6" xfId="33022"/>
    <cellStyle name="Normal 6 4 2 15 7" xfId="37753"/>
    <cellStyle name="Normal 6 4 2 16" xfId="5110"/>
    <cellStyle name="Normal 6 4 2 16 2" xfId="6042"/>
    <cellStyle name="Normal 6 4 2 16 3" xfId="18146"/>
    <cellStyle name="Normal 6 4 2 16 4" xfId="23189"/>
    <cellStyle name="Normal 6 4 2 16 5" xfId="28150"/>
    <cellStyle name="Normal 6 4 2 16 6" xfId="33008"/>
    <cellStyle name="Normal 6 4 2 16 7" xfId="37739"/>
    <cellStyle name="Normal 6 4 2 17" xfId="5061"/>
    <cellStyle name="Normal 6 4 2 17 2" xfId="6095"/>
    <cellStyle name="Normal 6 4 2 17 3" xfId="18199"/>
    <cellStyle name="Normal 6 4 2 17 4" xfId="23242"/>
    <cellStyle name="Normal 6 4 2 17 5" xfId="28203"/>
    <cellStyle name="Normal 6 4 2 17 6" xfId="33061"/>
    <cellStyle name="Normal 6 4 2 17 7" xfId="37792"/>
    <cellStyle name="Normal 6 4 2 18" xfId="5017"/>
    <cellStyle name="Normal 6 4 2 18 2" xfId="6771"/>
    <cellStyle name="Normal 6 4 2 18 3" xfId="18892"/>
    <cellStyle name="Normal 6 4 2 18 4" xfId="23935"/>
    <cellStyle name="Normal 6 4 2 18 5" xfId="28896"/>
    <cellStyle name="Normal 6 4 2 18 6" xfId="33754"/>
    <cellStyle name="Normal 6 4 2 18 7" xfId="38485"/>
    <cellStyle name="Normal 6 4 2 19" xfId="5429"/>
    <cellStyle name="Normal 6 4 2 19 2" xfId="6803"/>
    <cellStyle name="Normal 6 4 2 19 3" xfId="18924"/>
    <cellStyle name="Normal 6 4 2 19 4" xfId="23967"/>
    <cellStyle name="Normal 6 4 2 19 5" xfId="28928"/>
    <cellStyle name="Normal 6 4 2 19 6" xfId="33786"/>
    <cellStyle name="Normal 6 4 2 19 7" xfId="38517"/>
    <cellStyle name="Normal 6 4 2 2" xfId="4295"/>
    <cellStyle name="Normal 6 4 2 2 2" xfId="6208"/>
    <cellStyle name="Normal 6 4 2 2 3" xfId="18312"/>
    <cellStyle name="Normal 6 4 2 2 4" xfId="23355"/>
    <cellStyle name="Normal 6 4 2 2 5" xfId="28316"/>
    <cellStyle name="Normal 6 4 2 2 6" xfId="33174"/>
    <cellStyle name="Normal 6 4 2 2 7" xfId="37905"/>
    <cellStyle name="Normal 6 4 2 20" xfId="5490"/>
    <cellStyle name="Normal 6 4 2 20 2" xfId="6721"/>
    <cellStyle name="Normal 6 4 2 20 3" xfId="18842"/>
    <cellStyle name="Normal 6 4 2 20 4" xfId="23885"/>
    <cellStyle name="Normal 6 4 2 20 5" xfId="28846"/>
    <cellStyle name="Normal 6 4 2 20 6" xfId="33704"/>
    <cellStyle name="Normal 6 4 2 20 7" xfId="38435"/>
    <cellStyle name="Normal 6 4 2 21" xfId="5333"/>
    <cellStyle name="Normal 6 4 2 21 2" xfId="6821"/>
    <cellStyle name="Normal 6 4 2 21 3" xfId="18942"/>
    <cellStyle name="Normal 6 4 2 21 4" xfId="23985"/>
    <cellStyle name="Normal 6 4 2 21 5" xfId="28946"/>
    <cellStyle name="Normal 6 4 2 21 6" xfId="33804"/>
    <cellStyle name="Normal 6 4 2 21 7" xfId="38535"/>
    <cellStyle name="Normal 6 4 2 22" xfId="5547"/>
    <cellStyle name="Normal 6 4 2 22 2" xfId="7174"/>
    <cellStyle name="Normal 6 4 2 22 3" xfId="19329"/>
    <cellStyle name="Normal 6 4 2 22 4" xfId="24372"/>
    <cellStyle name="Normal 6 4 2 22 5" xfId="29333"/>
    <cellStyle name="Normal 6 4 2 22 6" xfId="34191"/>
    <cellStyle name="Normal 6 4 2 22 7" xfId="38922"/>
    <cellStyle name="Normal 6 4 2 23" xfId="5379"/>
    <cellStyle name="Normal 6 4 2 23 2" xfId="7246"/>
    <cellStyle name="Normal 6 4 2 23 3" xfId="19408"/>
    <cellStyle name="Normal 6 4 2 23 4" xfId="24451"/>
    <cellStyle name="Normal 6 4 2 23 5" xfId="29412"/>
    <cellStyle name="Normal 6 4 2 23 6" xfId="34270"/>
    <cellStyle name="Normal 6 4 2 23 7" xfId="39001"/>
    <cellStyle name="Normal 6 4 2 24" xfId="5353"/>
    <cellStyle name="Normal 6 4 2 24 2" xfId="7051"/>
    <cellStyle name="Normal 6 4 2 24 3" xfId="19195"/>
    <cellStyle name="Normal 6 4 2 24 4" xfId="24238"/>
    <cellStyle name="Normal 6 4 2 24 5" xfId="29199"/>
    <cellStyle name="Normal 6 4 2 24 6" xfId="34057"/>
    <cellStyle name="Normal 6 4 2 24 7" xfId="38788"/>
    <cellStyle name="Normal 6 4 2 25" xfId="5539"/>
    <cellStyle name="Normal 6 4 2 25 2" xfId="7305"/>
    <cellStyle name="Normal 6 4 2 25 3" xfId="19474"/>
    <cellStyle name="Normal 6 4 2 25 4" xfId="24517"/>
    <cellStyle name="Normal 6 4 2 25 5" xfId="29478"/>
    <cellStyle name="Normal 6 4 2 25 6" xfId="34336"/>
    <cellStyle name="Normal 6 4 2 25 7" xfId="39067"/>
    <cellStyle name="Normal 6 4 2 26" xfId="5540"/>
    <cellStyle name="Normal 6 4 2 26 2" xfId="7114"/>
    <cellStyle name="Normal 6 4 2 26 3" xfId="19260"/>
    <cellStyle name="Normal 6 4 2 26 4" xfId="24303"/>
    <cellStyle name="Normal 6 4 2 26 5" xfId="29264"/>
    <cellStyle name="Normal 6 4 2 26 6" xfId="34122"/>
    <cellStyle name="Normal 6 4 2 26 7" xfId="38853"/>
    <cellStyle name="Normal 6 4 2 27" xfId="5257"/>
    <cellStyle name="Normal 6 4 2 27 2" xfId="7073"/>
    <cellStyle name="Normal 6 4 2 27 3" xfId="19217"/>
    <cellStyle name="Normal 6 4 2 27 4" xfId="24260"/>
    <cellStyle name="Normal 6 4 2 27 5" xfId="29221"/>
    <cellStyle name="Normal 6 4 2 27 6" xfId="34079"/>
    <cellStyle name="Normal 6 4 2 27 7" xfId="38810"/>
    <cellStyle name="Normal 6 4 2 28" xfId="5781"/>
    <cellStyle name="Normal 6 4 2 28 2" xfId="14441"/>
    <cellStyle name="Normal 6 4 2 28 3" xfId="19466"/>
    <cellStyle name="Normal 6 4 2 28 4" xfId="24509"/>
    <cellStyle name="Normal 6 4 2 28 5" xfId="29470"/>
    <cellStyle name="Normal 6 4 2 28 6" xfId="34328"/>
    <cellStyle name="Normal 6 4 2 28 7" xfId="39059"/>
    <cellStyle name="Normal 6 4 2 29" xfId="7300"/>
    <cellStyle name="Normal 6 4 2 29 2" xfId="14444"/>
    <cellStyle name="Normal 6 4 2 29 3" xfId="19469"/>
    <cellStyle name="Normal 6 4 2 29 4" xfId="24512"/>
    <cellStyle name="Normal 6 4 2 29 5" xfId="29473"/>
    <cellStyle name="Normal 6 4 2 29 6" xfId="34331"/>
    <cellStyle name="Normal 6 4 2 29 7" xfId="39062"/>
    <cellStyle name="Normal 6 4 2 3" xfId="4314"/>
    <cellStyle name="Normal 6 4 2 3 2" xfId="6310"/>
    <cellStyle name="Normal 6 4 2 3 3" xfId="18418"/>
    <cellStyle name="Normal 6 4 2 3 4" xfId="23461"/>
    <cellStyle name="Normal 6 4 2 3 5" xfId="28422"/>
    <cellStyle name="Normal 6 4 2 3 6" xfId="33280"/>
    <cellStyle name="Normal 6 4 2 3 7" xfId="38011"/>
    <cellStyle name="Normal 6 4 2 30" xfId="6969"/>
    <cellStyle name="Normal 6 4 2 30 2" xfId="14270"/>
    <cellStyle name="Normal 6 4 2 30 3" xfId="19101"/>
    <cellStyle name="Normal 6 4 2 30 4" xfId="24144"/>
    <cellStyle name="Normal 6 4 2 30 5" xfId="29105"/>
    <cellStyle name="Normal 6 4 2 30 6" xfId="33963"/>
    <cellStyle name="Normal 6 4 2 30 7" xfId="38694"/>
    <cellStyle name="Normal 6 4 2 31" xfId="6894"/>
    <cellStyle name="Normal 6 4 2 31 2" xfId="14229"/>
    <cellStyle name="Normal 6 4 2 31 3" xfId="19018"/>
    <cellStyle name="Normal 6 4 2 31 4" xfId="24061"/>
    <cellStyle name="Normal 6 4 2 31 5" xfId="29022"/>
    <cellStyle name="Normal 6 4 2 31 6" xfId="33880"/>
    <cellStyle name="Normal 6 4 2 31 7" xfId="38611"/>
    <cellStyle name="Normal 6 4 2 32" xfId="6936"/>
    <cellStyle name="Normal 6 4 2 32 2" xfId="14251"/>
    <cellStyle name="Normal 6 4 2 32 3" xfId="19065"/>
    <cellStyle name="Normal 6 4 2 32 4" xfId="24108"/>
    <cellStyle name="Normal 6 4 2 32 5" xfId="29069"/>
    <cellStyle name="Normal 6 4 2 32 6" xfId="33927"/>
    <cellStyle name="Normal 6 4 2 32 7" xfId="38658"/>
    <cellStyle name="Normal 6 4 2 33" xfId="7042"/>
    <cellStyle name="Normal 6 4 2 33 2" xfId="14312"/>
    <cellStyle name="Normal 6 4 2 33 3" xfId="19183"/>
    <cellStyle name="Normal 6 4 2 33 4" xfId="24226"/>
    <cellStyle name="Normal 6 4 2 33 5" xfId="29187"/>
    <cellStyle name="Normal 6 4 2 33 6" xfId="34045"/>
    <cellStyle name="Normal 6 4 2 33 7" xfId="38776"/>
    <cellStyle name="Normal 6 4 2 34" xfId="7835"/>
    <cellStyle name="Normal 6 4 2 34 2" xfId="14915"/>
    <cellStyle name="Normal 6 4 2 34 3" xfId="20032"/>
    <cellStyle name="Normal 6 4 2 34 4" xfId="25075"/>
    <cellStyle name="Normal 6 4 2 34 5" xfId="30036"/>
    <cellStyle name="Normal 6 4 2 34 6" xfId="34894"/>
    <cellStyle name="Normal 6 4 2 34 7" xfId="39625"/>
    <cellStyle name="Normal 6 4 2 35" xfId="7927"/>
    <cellStyle name="Normal 6 4 2 35 2" xfId="15007"/>
    <cellStyle name="Normal 6 4 2 35 3" xfId="20124"/>
    <cellStyle name="Normal 6 4 2 35 4" xfId="25167"/>
    <cellStyle name="Normal 6 4 2 35 5" xfId="30128"/>
    <cellStyle name="Normal 6 4 2 35 6" xfId="34986"/>
    <cellStyle name="Normal 6 4 2 35 7" xfId="39717"/>
    <cellStyle name="Normal 6 4 2 36" xfId="7686"/>
    <cellStyle name="Normal 6 4 2 36 2" xfId="14766"/>
    <cellStyle name="Normal 6 4 2 36 3" xfId="19883"/>
    <cellStyle name="Normal 6 4 2 36 4" xfId="24926"/>
    <cellStyle name="Normal 6 4 2 36 5" xfId="29887"/>
    <cellStyle name="Normal 6 4 2 36 6" xfId="34745"/>
    <cellStyle name="Normal 6 4 2 36 7" xfId="39476"/>
    <cellStyle name="Normal 6 4 2 37" xfId="8010"/>
    <cellStyle name="Normal 6 4 2 37 2" xfId="15090"/>
    <cellStyle name="Normal 6 4 2 37 3" xfId="20207"/>
    <cellStyle name="Normal 6 4 2 37 4" xfId="25250"/>
    <cellStyle name="Normal 6 4 2 37 5" xfId="30211"/>
    <cellStyle name="Normal 6 4 2 37 6" xfId="35069"/>
    <cellStyle name="Normal 6 4 2 37 7" xfId="39800"/>
    <cellStyle name="Normal 6 4 2 38" xfId="7759"/>
    <cellStyle name="Normal 6 4 2 38 2" xfId="14839"/>
    <cellStyle name="Normal 6 4 2 38 3" xfId="19956"/>
    <cellStyle name="Normal 6 4 2 38 4" xfId="24999"/>
    <cellStyle name="Normal 6 4 2 38 5" xfId="29960"/>
    <cellStyle name="Normal 6 4 2 38 6" xfId="34818"/>
    <cellStyle name="Normal 6 4 2 38 7" xfId="39549"/>
    <cellStyle name="Normal 6 4 2 39" xfId="7713"/>
    <cellStyle name="Normal 6 4 2 39 2" xfId="14793"/>
    <cellStyle name="Normal 6 4 2 39 3" xfId="19910"/>
    <cellStyle name="Normal 6 4 2 39 4" xfId="24953"/>
    <cellStyle name="Normal 6 4 2 39 5" xfId="29914"/>
    <cellStyle name="Normal 6 4 2 39 6" xfId="34772"/>
    <cellStyle name="Normal 6 4 2 39 7" xfId="39503"/>
    <cellStyle name="Normal 6 4 2 4" xfId="4236"/>
    <cellStyle name="Normal 6 4 2 4 2" xfId="6041"/>
    <cellStyle name="Normal 6 4 2 4 3" xfId="18145"/>
    <cellStyle name="Normal 6 4 2 4 4" xfId="23188"/>
    <cellStyle name="Normal 6 4 2 4 5" xfId="28149"/>
    <cellStyle name="Normal 6 4 2 4 6" xfId="33007"/>
    <cellStyle name="Normal 6 4 2 4 7" xfId="37738"/>
    <cellStyle name="Normal 6 4 2 40" xfId="7999"/>
    <cellStyle name="Normal 6 4 2 40 2" xfId="15079"/>
    <cellStyle name="Normal 6 4 2 40 3" xfId="20196"/>
    <cellStyle name="Normal 6 4 2 40 4" xfId="25239"/>
    <cellStyle name="Normal 6 4 2 40 5" xfId="30200"/>
    <cellStyle name="Normal 6 4 2 40 6" xfId="35058"/>
    <cellStyle name="Normal 6 4 2 40 7" xfId="39789"/>
    <cellStyle name="Normal 6 4 2 41" xfId="8002"/>
    <cellStyle name="Normal 6 4 2 41 2" xfId="15082"/>
    <cellStyle name="Normal 6 4 2 41 3" xfId="20199"/>
    <cellStyle name="Normal 6 4 2 41 4" xfId="25242"/>
    <cellStyle name="Normal 6 4 2 41 5" xfId="30203"/>
    <cellStyle name="Normal 6 4 2 41 6" xfId="35061"/>
    <cellStyle name="Normal 6 4 2 41 7" xfId="39792"/>
    <cellStyle name="Normal 6 4 2 42" xfId="7576"/>
    <cellStyle name="Normal 6 4 2 42 2" xfId="14656"/>
    <cellStyle name="Normal 6 4 2 42 3" xfId="19773"/>
    <cellStyle name="Normal 6 4 2 42 4" xfId="24816"/>
    <cellStyle name="Normal 6 4 2 42 5" xfId="29777"/>
    <cellStyle name="Normal 6 4 2 42 6" xfId="34635"/>
    <cellStyle name="Normal 6 4 2 42 7" xfId="39366"/>
    <cellStyle name="Normal 6 4 2 43" xfId="7486"/>
    <cellStyle name="Normal 6 4 2 43 2" xfId="14562"/>
    <cellStyle name="Normal 6 4 2 43 3" xfId="19679"/>
    <cellStyle name="Normal 6 4 2 43 4" xfId="24722"/>
    <cellStyle name="Normal 6 4 2 43 5" xfId="29683"/>
    <cellStyle name="Normal 6 4 2 43 6" xfId="34541"/>
    <cellStyle name="Normal 6 4 2 43 7" xfId="39272"/>
    <cellStyle name="Normal 6 4 2 44" xfId="7539"/>
    <cellStyle name="Normal 6 4 2 44 2" xfId="14617"/>
    <cellStyle name="Normal 6 4 2 44 3" xfId="19734"/>
    <cellStyle name="Normal 6 4 2 44 4" xfId="24777"/>
    <cellStyle name="Normal 6 4 2 44 5" xfId="29738"/>
    <cellStyle name="Normal 6 4 2 44 6" xfId="34596"/>
    <cellStyle name="Normal 6 4 2 44 7" xfId="39327"/>
    <cellStyle name="Normal 6 4 2 45" xfId="7673"/>
    <cellStyle name="Normal 6 4 2 45 2" xfId="14753"/>
    <cellStyle name="Normal 6 4 2 45 3" xfId="19870"/>
    <cellStyle name="Normal 6 4 2 45 4" xfId="24913"/>
    <cellStyle name="Normal 6 4 2 45 5" xfId="29874"/>
    <cellStyle name="Normal 6 4 2 45 6" xfId="34732"/>
    <cellStyle name="Normal 6 4 2 45 7" xfId="39463"/>
    <cellStyle name="Normal 6 4 2 46" xfId="7805"/>
    <cellStyle name="Normal 6 4 2 46 2" xfId="14885"/>
    <cellStyle name="Normal 6 4 2 46 3" xfId="20002"/>
    <cellStyle name="Normal 6 4 2 46 4" xfId="25045"/>
    <cellStyle name="Normal 6 4 2 46 5" xfId="30006"/>
    <cellStyle name="Normal 6 4 2 46 6" xfId="34864"/>
    <cellStyle name="Normal 6 4 2 46 7" xfId="39595"/>
    <cellStyle name="Normal 6 4 2 47" xfId="7699"/>
    <cellStyle name="Normal 6 4 2 47 2" xfId="14779"/>
    <cellStyle name="Normal 6 4 2 47 3" xfId="19896"/>
    <cellStyle name="Normal 6 4 2 47 4" xfId="24939"/>
    <cellStyle name="Normal 6 4 2 47 5" xfId="29900"/>
    <cellStyle name="Normal 6 4 2 47 6" xfId="34758"/>
    <cellStyle name="Normal 6 4 2 47 7" xfId="39489"/>
    <cellStyle name="Normal 6 4 2 48" xfId="8630"/>
    <cellStyle name="Normal 6 4 2 48 2" xfId="15711"/>
    <cellStyle name="Normal 6 4 2 48 3" xfId="20828"/>
    <cellStyle name="Normal 6 4 2 48 4" xfId="25871"/>
    <cellStyle name="Normal 6 4 2 48 5" xfId="30832"/>
    <cellStyle name="Normal 6 4 2 48 6" xfId="35690"/>
    <cellStyle name="Normal 6 4 2 48 7" xfId="40421"/>
    <cellStyle name="Normal 6 4 2 49" xfId="8723"/>
    <cellStyle name="Normal 6 4 2 49 2" xfId="15804"/>
    <cellStyle name="Normal 6 4 2 49 3" xfId="20921"/>
    <cellStyle name="Normal 6 4 2 49 4" xfId="25964"/>
    <cellStyle name="Normal 6 4 2 49 5" xfId="30925"/>
    <cellStyle name="Normal 6 4 2 49 6" xfId="35783"/>
    <cellStyle name="Normal 6 4 2 49 7" xfId="40514"/>
    <cellStyle name="Normal 6 4 2 5" xfId="4413"/>
    <cellStyle name="Normal 6 4 2 5 2" xfId="6401"/>
    <cellStyle name="Normal 6 4 2 5 3" xfId="18511"/>
    <cellStyle name="Normal 6 4 2 5 4" xfId="23554"/>
    <cellStyle name="Normal 6 4 2 5 5" xfId="28515"/>
    <cellStyle name="Normal 6 4 2 5 6" xfId="33373"/>
    <cellStyle name="Normal 6 4 2 5 7" xfId="38104"/>
    <cellStyle name="Normal 6 4 2 50" xfId="8473"/>
    <cellStyle name="Normal 6 4 2 50 2" xfId="15554"/>
    <cellStyle name="Normal 6 4 2 50 3" xfId="20671"/>
    <cellStyle name="Normal 6 4 2 50 4" xfId="25714"/>
    <cellStyle name="Normal 6 4 2 50 5" xfId="30675"/>
    <cellStyle name="Normal 6 4 2 50 6" xfId="35533"/>
    <cellStyle name="Normal 6 4 2 50 7" xfId="40264"/>
    <cellStyle name="Normal 6 4 2 51" xfId="8808"/>
    <cellStyle name="Normal 6 4 2 51 2" xfId="15889"/>
    <cellStyle name="Normal 6 4 2 51 3" xfId="21006"/>
    <cellStyle name="Normal 6 4 2 51 4" xfId="26049"/>
    <cellStyle name="Normal 6 4 2 51 5" xfId="31010"/>
    <cellStyle name="Normal 6 4 2 51 6" xfId="35868"/>
    <cellStyle name="Normal 6 4 2 51 7" xfId="40599"/>
    <cellStyle name="Normal 6 4 2 52" xfId="8546"/>
    <cellStyle name="Normal 6 4 2 52 2" xfId="15627"/>
    <cellStyle name="Normal 6 4 2 52 3" xfId="20744"/>
    <cellStyle name="Normal 6 4 2 52 4" xfId="25787"/>
    <cellStyle name="Normal 6 4 2 52 5" xfId="30748"/>
    <cellStyle name="Normal 6 4 2 52 6" xfId="35606"/>
    <cellStyle name="Normal 6 4 2 52 7" xfId="40337"/>
    <cellStyle name="Normal 6 4 2 53" xfId="8493"/>
    <cellStyle name="Normal 6 4 2 53 2" xfId="15574"/>
    <cellStyle name="Normal 6 4 2 53 3" xfId="20691"/>
    <cellStyle name="Normal 6 4 2 53 4" xfId="25734"/>
    <cellStyle name="Normal 6 4 2 53 5" xfId="30695"/>
    <cellStyle name="Normal 6 4 2 53 6" xfId="35553"/>
    <cellStyle name="Normal 6 4 2 53 7" xfId="40284"/>
    <cellStyle name="Normal 6 4 2 54" xfId="8797"/>
    <cellStyle name="Normal 6 4 2 54 2" xfId="15878"/>
    <cellStyle name="Normal 6 4 2 54 3" xfId="20995"/>
    <cellStyle name="Normal 6 4 2 54 4" xfId="26038"/>
    <cellStyle name="Normal 6 4 2 54 5" xfId="30999"/>
    <cellStyle name="Normal 6 4 2 54 6" xfId="35857"/>
    <cellStyle name="Normal 6 4 2 54 7" xfId="40588"/>
    <cellStyle name="Normal 6 4 2 55" xfId="8743"/>
    <cellStyle name="Normal 6 4 2 55 2" xfId="15824"/>
    <cellStyle name="Normal 6 4 2 55 3" xfId="20941"/>
    <cellStyle name="Normal 6 4 2 55 4" xfId="25984"/>
    <cellStyle name="Normal 6 4 2 55 5" xfId="30945"/>
    <cellStyle name="Normal 6 4 2 55 6" xfId="35803"/>
    <cellStyle name="Normal 6 4 2 55 7" xfId="40534"/>
    <cellStyle name="Normal 6 4 2 56" xfId="8319"/>
    <cellStyle name="Normal 6 4 2 56 2" xfId="15400"/>
    <cellStyle name="Normal 6 4 2 56 3" xfId="20517"/>
    <cellStyle name="Normal 6 4 2 56 4" xfId="25560"/>
    <cellStyle name="Normal 6 4 2 56 5" xfId="30521"/>
    <cellStyle name="Normal 6 4 2 56 6" xfId="35379"/>
    <cellStyle name="Normal 6 4 2 56 7" xfId="40110"/>
    <cellStyle name="Normal 6 4 2 57" xfId="8324"/>
    <cellStyle name="Normal 6 4 2 57 2" xfId="15405"/>
    <cellStyle name="Normal 6 4 2 57 3" xfId="20522"/>
    <cellStyle name="Normal 6 4 2 57 4" xfId="25565"/>
    <cellStyle name="Normal 6 4 2 57 5" xfId="30526"/>
    <cellStyle name="Normal 6 4 2 57 6" xfId="35384"/>
    <cellStyle name="Normal 6 4 2 57 7" xfId="40115"/>
    <cellStyle name="Normal 6 4 2 58" xfId="8869"/>
    <cellStyle name="Normal 6 4 2 58 2" xfId="15950"/>
    <cellStyle name="Normal 6 4 2 58 3" xfId="21067"/>
    <cellStyle name="Normal 6 4 2 58 4" xfId="26110"/>
    <cellStyle name="Normal 6 4 2 58 5" xfId="31071"/>
    <cellStyle name="Normal 6 4 2 58 6" xfId="35929"/>
    <cellStyle name="Normal 6 4 2 58 7" xfId="40660"/>
    <cellStyle name="Normal 6 4 2 59" xfId="8475"/>
    <cellStyle name="Normal 6 4 2 59 2" xfId="15556"/>
    <cellStyle name="Normal 6 4 2 59 3" xfId="20673"/>
    <cellStyle name="Normal 6 4 2 59 4" xfId="25716"/>
    <cellStyle name="Normal 6 4 2 59 5" xfId="30677"/>
    <cellStyle name="Normal 6 4 2 59 6" xfId="35535"/>
    <cellStyle name="Normal 6 4 2 59 7" xfId="40266"/>
    <cellStyle name="Normal 6 4 2 6" xfId="4469"/>
    <cellStyle name="Normal 6 4 2 6 2" xfId="6122"/>
    <cellStyle name="Normal 6 4 2 6 3" xfId="18226"/>
    <cellStyle name="Normal 6 4 2 6 4" xfId="23269"/>
    <cellStyle name="Normal 6 4 2 6 5" xfId="28230"/>
    <cellStyle name="Normal 6 4 2 6 6" xfId="33088"/>
    <cellStyle name="Normal 6 4 2 6 7" xfId="37819"/>
    <cellStyle name="Normal 6 4 2 60" xfId="8720"/>
    <cellStyle name="Normal 6 4 2 60 2" xfId="15801"/>
    <cellStyle name="Normal 6 4 2 60 3" xfId="20918"/>
    <cellStyle name="Normal 6 4 2 60 4" xfId="25961"/>
    <cellStyle name="Normal 6 4 2 60 5" xfId="30922"/>
    <cellStyle name="Normal 6 4 2 60 6" xfId="35780"/>
    <cellStyle name="Normal 6 4 2 60 7" xfId="40511"/>
    <cellStyle name="Normal 6 4 2 61" xfId="8574"/>
    <cellStyle name="Normal 6 4 2 61 2" xfId="15655"/>
    <cellStyle name="Normal 6 4 2 61 3" xfId="20772"/>
    <cellStyle name="Normal 6 4 2 61 4" xfId="25815"/>
    <cellStyle name="Normal 6 4 2 61 5" xfId="30776"/>
    <cellStyle name="Normal 6 4 2 61 6" xfId="35634"/>
    <cellStyle name="Normal 6 4 2 61 7" xfId="40365"/>
    <cellStyle name="Normal 6 4 2 62" xfId="8775"/>
    <cellStyle name="Normal 6 4 2 62 2" xfId="15856"/>
    <cellStyle name="Normal 6 4 2 62 3" xfId="20973"/>
    <cellStyle name="Normal 6 4 2 62 4" xfId="26016"/>
    <cellStyle name="Normal 6 4 2 62 5" xfId="30977"/>
    <cellStyle name="Normal 6 4 2 62 6" xfId="35835"/>
    <cellStyle name="Normal 6 4 2 62 7" xfId="40566"/>
    <cellStyle name="Normal 6 4 2 63" xfId="9389"/>
    <cellStyle name="Normal 6 4 2 63 2" xfId="16470"/>
    <cellStyle name="Normal 6 4 2 63 3" xfId="21587"/>
    <cellStyle name="Normal 6 4 2 63 4" xfId="26630"/>
    <cellStyle name="Normal 6 4 2 63 5" xfId="31591"/>
    <cellStyle name="Normal 6 4 2 63 6" xfId="36449"/>
    <cellStyle name="Normal 6 4 2 63 7" xfId="41180"/>
    <cellStyle name="Normal 6 4 2 64" xfId="9468"/>
    <cellStyle name="Normal 6 4 2 64 2" xfId="16549"/>
    <cellStyle name="Normal 6 4 2 64 3" xfId="21666"/>
    <cellStyle name="Normal 6 4 2 64 4" xfId="26709"/>
    <cellStyle name="Normal 6 4 2 64 5" xfId="31670"/>
    <cellStyle name="Normal 6 4 2 64 6" xfId="36528"/>
    <cellStyle name="Normal 6 4 2 64 7" xfId="41259"/>
    <cellStyle name="Normal 6 4 2 65" xfId="9255"/>
    <cellStyle name="Normal 6 4 2 65 2" xfId="16336"/>
    <cellStyle name="Normal 6 4 2 65 3" xfId="21453"/>
    <cellStyle name="Normal 6 4 2 65 4" xfId="26496"/>
    <cellStyle name="Normal 6 4 2 65 5" xfId="31457"/>
    <cellStyle name="Normal 6 4 2 65 6" xfId="36315"/>
    <cellStyle name="Normal 6 4 2 65 7" xfId="41046"/>
    <cellStyle name="Normal 6 4 2 66" xfId="9534"/>
    <cellStyle name="Normal 6 4 2 66 2" xfId="16615"/>
    <cellStyle name="Normal 6 4 2 66 3" xfId="21732"/>
    <cellStyle name="Normal 6 4 2 66 4" xfId="26775"/>
    <cellStyle name="Normal 6 4 2 66 5" xfId="31736"/>
    <cellStyle name="Normal 6 4 2 66 6" xfId="36594"/>
    <cellStyle name="Normal 6 4 2 66 7" xfId="41325"/>
    <cellStyle name="Normal 6 4 2 67" xfId="9320"/>
    <cellStyle name="Normal 6 4 2 67 2" xfId="16401"/>
    <cellStyle name="Normal 6 4 2 67 3" xfId="21518"/>
    <cellStyle name="Normal 6 4 2 67 4" xfId="26561"/>
    <cellStyle name="Normal 6 4 2 67 5" xfId="31522"/>
    <cellStyle name="Normal 6 4 2 67 6" xfId="36380"/>
    <cellStyle name="Normal 6 4 2 67 7" xfId="41111"/>
    <cellStyle name="Normal 6 4 2 68" xfId="9277"/>
    <cellStyle name="Normal 6 4 2 68 2" xfId="16358"/>
    <cellStyle name="Normal 6 4 2 68 3" xfId="21475"/>
    <cellStyle name="Normal 6 4 2 68 4" xfId="26518"/>
    <cellStyle name="Normal 6 4 2 68 5" xfId="31479"/>
    <cellStyle name="Normal 6 4 2 68 6" xfId="36337"/>
    <cellStyle name="Normal 6 4 2 68 7" xfId="41068"/>
    <cellStyle name="Normal 6 4 2 69" xfId="9526"/>
    <cellStyle name="Normal 6 4 2 69 2" xfId="16607"/>
    <cellStyle name="Normal 6 4 2 69 3" xfId="21724"/>
    <cellStyle name="Normal 6 4 2 69 4" xfId="26767"/>
    <cellStyle name="Normal 6 4 2 69 5" xfId="31728"/>
    <cellStyle name="Normal 6 4 2 69 6" xfId="36586"/>
    <cellStyle name="Normal 6 4 2 69 7" xfId="41317"/>
    <cellStyle name="Normal 6 4 2 7" xfId="4577"/>
    <cellStyle name="Normal 6 4 2 7 2" xfId="6071"/>
    <cellStyle name="Normal 6 4 2 7 3" xfId="18175"/>
    <cellStyle name="Normal 6 4 2 7 4" xfId="23218"/>
    <cellStyle name="Normal 6 4 2 7 5" xfId="28179"/>
    <cellStyle name="Normal 6 4 2 7 6" xfId="33037"/>
    <cellStyle name="Normal 6 4 2 7 7" xfId="37768"/>
    <cellStyle name="Normal 6 4 2 70" xfId="9529"/>
    <cellStyle name="Normal 6 4 2 70 2" xfId="16610"/>
    <cellStyle name="Normal 6 4 2 70 3" xfId="21727"/>
    <cellStyle name="Normal 6 4 2 70 4" xfId="26770"/>
    <cellStyle name="Normal 6 4 2 70 5" xfId="31731"/>
    <cellStyle name="Normal 6 4 2 70 6" xfId="36589"/>
    <cellStyle name="Normal 6 4 2 70 7" xfId="41320"/>
    <cellStyle name="Normal 6 4 2 71" xfId="9161"/>
    <cellStyle name="Normal 6 4 2 71 2" xfId="16242"/>
    <cellStyle name="Normal 6 4 2 71 3" xfId="21359"/>
    <cellStyle name="Normal 6 4 2 71 4" xfId="26402"/>
    <cellStyle name="Normal 6 4 2 71 5" xfId="31363"/>
    <cellStyle name="Normal 6 4 2 71 6" xfId="36221"/>
    <cellStyle name="Normal 6 4 2 71 7" xfId="40952"/>
    <cellStyle name="Normal 6 4 2 72" xfId="9078"/>
    <cellStyle name="Normal 6 4 2 72 2" xfId="16159"/>
    <cellStyle name="Normal 6 4 2 72 3" xfId="21276"/>
    <cellStyle name="Normal 6 4 2 72 4" xfId="26319"/>
    <cellStyle name="Normal 6 4 2 72 5" xfId="31280"/>
    <cellStyle name="Normal 6 4 2 72 6" xfId="36138"/>
    <cellStyle name="Normal 6 4 2 72 7" xfId="40869"/>
    <cellStyle name="Normal 6 4 2 73" xfId="9125"/>
    <cellStyle name="Normal 6 4 2 73 2" xfId="16206"/>
    <cellStyle name="Normal 6 4 2 73 3" xfId="21323"/>
    <cellStyle name="Normal 6 4 2 73 4" xfId="26366"/>
    <cellStyle name="Normal 6 4 2 73 5" xfId="31327"/>
    <cellStyle name="Normal 6 4 2 73 6" xfId="36185"/>
    <cellStyle name="Normal 6 4 2 73 7" xfId="40916"/>
    <cellStyle name="Normal 6 4 2 74" xfId="9243"/>
    <cellStyle name="Normal 6 4 2 74 2" xfId="16324"/>
    <cellStyle name="Normal 6 4 2 74 3" xfId="21441"/>
    <cellStyle name="Normal 6 4 2 74 4" xfId="26484"/>
    <cellStyle name="Normal 6 4 2 74 5" xfId="31445"/>
    <cellStyle name="Normal 6 4 2 74 6" xfId="36303"/>
    <cellStyle name="Normal 6 4 2 74 7" xfId="41034"/>
    <cellStyle name="Normal 6 4 2 75" xfId="9885"/>
    <cellStyle name="Normal 6 4 2 75 2" xfId="16966"/>
    <cellStyle name="Normal 6 4 2 75 3" xfId="22083"/>
    <cellStyle name="Normal 6 4 2 75 4" xfId="27126"/>
    <cellStyle name="Normal 6 4 2 75 5" xfId="32087"/>
    <cellStyle name="Normal 6 4 2 75 6" xfId="36945"/>
    <cellStyle name="Normal 6 4 2 75 7" xfId="41676"/>
    <cellStyle name="Normal 6 4 2 76" xfId="9933"/>
    <cellStyle name="Normal 6 4 2 76 2" xfId="17014"/>
    <cellStyle name="Normal 6 4 2 76 3" xfId="22131"/>
    <cellStyle name="Normal 6 4 2 76 4" xfId="27174"/>
    <cellStyle name="Normal 6 4 2 76 5" xfId="32135"/>
    <cellStyle name="Normal 6 4 2 76 6" xfId="36993"/>
    <cellStyle name="Normal 6 4 2 76 7" xfId="41724"/>
    <cellStyle name="Normal 6 4 2 77" xfId="9816"/>
    <cellStyle name="Normal 6 4 2 77 2" xfId="16897"/>
    <cellStyle name="Normal 6 4 2 77 3" xfId="22014"/>
    <cellStyle name="Normal 6 4 2 77 4" xfId="27057"/>
    <cellStyle name="Normal 6 4 2 77 5" xfId="32018"/>
    <cellStyle name="Normal 6 4 2 77 6" xfId="36876"/>
    <cellStyle name="Normal 6 4 2 77 7" xfId="41607"/>
    <cellStyle name="Normal 6 4 2 78" xfId="9964"/>
    <cellStyle name="Normal 6 4 2 78 2" xfId="17045"/>
    <cellStyle name="Normal 6 4 2 78 3" xfId="22162"/>
    <cellStyle name="Normal 6 4 2 78 4" xfId="27205"/>
    <cellStyle name="Normal 6 4 2 78 5" xfId="32166"/>
    <cellStyle name="Normal 6 4 2 78 6" xfId="37024"/>
    <cellStyle name="Normal 6 4 2 78 7" xfId="41755"/>
    <cellStyle name="Normal 6 4 2 79" xfId="9847"/>
    <cellStyle name="Normal 6 4 2 79 2" xfId="16928"/>
    <cellStyle name="Normal 6 4 2 79 3" xfId="22045"/>
    <cellStyle name="Normal 6 4 2 79 4" xfId="27088"/>
    <cellStyle name="Normal 6 4 2 79 5" xfId="32049"/>
    <cellStyle name="Normal 6 4 2 79 6" xfId="36907"/>
    <cellStyle name="Normal 6 4 2 79 7" xfId="41638"/>
    <cellStyle name="Normal 6 4 2 8" xfId="4603"/>
    <cellStyle name="Normal 6 4 2 8 2" xfId="6390"/>
    <cellStyle name="Normal 6 4 2 8 3" xfId="18500"/>
    <cellStyle name="Normal 6 4 2 8 4" xfId="23543"/>
    <cellStyle name="Normal 6 4 2 8 5" xfId="28504"/>
    <cellStyle name="Normal 6 4 2 8 6" xfId="33362"/>
    <cellStyle name="Normal 6 4 2 8 7" xfId="38093"/>
    <cellStyle name="Normal 6 4 2 80" xfId="9825"/>
    <cellStyle name="Normal 6 4 2 80 2" xfId="16906"/>
    <cellStyle name="Normal 6 4 2 80 3" xfId="22023"/>
    <cellStyle name="Normal 6 4 2 80 4" xfId="27066"/>
    <cellStyle name="Normal 6 4 2 80 5" xfId="32027"/>
    <cellStyle name="Normal 6 4 2 80 6" xfId="36885"/>
    <cellStyle name="Normal 6 4 2 80 7" xfId="41616"/>
    <cellStyle name="Normal 6 4 2 81" xfId="10215"/>
    <cellStyle name="Normal 6 4 2 81 2" xfId="17296"/>
    <cellStyle name="Normal 6 4 2 81 3" xfId="22413"/>
    <cellStyle name="Normal 6 4 2 81 4" xfId="27456"/>
    <cellStyle name="Normal 6 4 2 81 5" xfId="32417"/>
    <cellStyle name="Normal 6 4 2 81 6" xfId="37275"/>
    <cellStyle name="Normal 6 4 2 81 7" xfId="42006"/>
    <cellStyle name="Normal 6 4 2 82" xfId="10263"/>
    <cellStyle name="Normal 6 4 2 82 2" xfId="17344"/>
    <cellStyle name="Normal 6 4 2 82 3" xfId="22461"/>
    <cellStyle name="Normal 6 4 2 82 4" xfId="27504"/>
    <cellStyle name="Normal 6 4 2 82 5" xfId="32465"/>
    <cellStyle name="Normal 6 4 2 82 6" xfId="37323"/>
    <cellStyle name="Normal 6 4 2 82 7" xfId="42054"/>
    <cellStyle name="Normal 6 4 2 83" xfId="10146"/>
    <cellStyle name="Normal 6 4 2 83 2" xfId="17227"/>
    <cellStyle name="Normal 6 4 2 83 3" xfId="22344"/>
    <cellStyle name="Normal 6 4 2 83 4" xfId="27387"/>
    <cellStyle name="Normal 6 4 2 83 5" xfId="32348"/>
    <cellStyle name="Normal 6 4 2 83 6" xfId="37206"/>
    <cellStyle name="Normal 6 4 2 83 7" xfId="41937"/>
    <cellStyle name="Normal 6 4 2 84" xfId="10294"/>
    <cellStyle name="Normal 6 4 2 84 2" xfId="17375"/>
    <cellStyle name="Normal 6 4 2 84 3" xfId="22492"/>
    <cellStyle name="Normal 6 4 2 84 4" xfId="27535"/>
    <cellStyle name="Normal 6 4 2 84 5" xfId="32496"/>
    <cellStyle name="Normal 6 4 2 84 6" xfId="37354"/>
    <cellStyle name="Normal 6 4 2 84 7" xfId="42085"/>
    <cellStyle name="Normal 6 4 2 85" xfId="10177"/>
    <cellStyle name="Normal 6 4 2 85 2" xfId="17258"/>
    <cellStyle name="Normal 6 4 2 85 3" xfId="22375"/>
    <cellStyle name="Normal 6 4 2 85 4" xfId="27418"/>
    <cellStyle name="Normal 6 4 2 85 5" xfId="32379"/>
    <cellStyle name="Normal 6 4 2 85 6" xfId="37237"/>
    <cellStyle name="Normal 6 4 2 85 7" xfId="41968"/>
    <cellStyle name="Normal 6 4 2 86" xfId="10155"/>
    <cellStyle name="Normal 6 4 2 86 2" xfId="17236"/>
    <cellStyle name="Normal 6 4 2 86 3" xfId="22353"/>
    <cellStyle name="Normal 6 4 2 86 4" xfId="27396"/>
    <cellStyle name="Normal 6 4 2 86 5" xfId="32357"/>
    <cellStyle name="Normal 6 4 2 86 6" xfId="37215"/>
    <cellStyle name="Normal 6 4 2 86 7" xfId="41946"/>
    <cellStyle name="Normal 6 4 2 87" xfId="13033"/>
    <cellStyle name="Normal 6 4 2 88" xfId="12713"/>
    <cellStyle name="Normal 6 4 2 89" xfId="13554"/>
    <cellStyle name="Normal 6 4 2 9" xfId="4519"/>
    <cellStyle name="Normal 6 4 2 9 2" xfId="6393"/>
    <cellStyle name="Normal 6 4 2 9 3" xfId="18503"/>
    <cellStyle name="Normal 6 4 2 9 4" xfId="23546"/>
    <cellStyle name="Normal 6 4 2 9 5" xfId="28507"/>
    <cellStyle name="Normal 6 4 2 9 6" xfId="33365"/>
    <cellStyle name="Normal 6 4 2 9 7" xfId="38096"/>
    <cellStyle name="Normal 6 4 2 90" xfId="12958"/>
    <cellStyle name="Normal 6 4 2 91" xfId="12992"/>
    <cellStyle name="Normal 6 4 2 92" xfId="13631"/>
    <cellStyle name="Normal 6 4 20" xfId="5058"/>
    <cellStyle name="Normal 6 4 20 2" xfId="6710"/>
    <cellStyle name="Normal 6 4 20 3" xfId="18831"/>
    <cellStyle name="Normal 6 4 20 4" xfId="23874"/>
    <cellStyle name="Normal 6 4 20 5" xfId="28835"/>
    <cellStyle name="Normal 6 4 20 6" xfId="33693"/>
    <cellStyle name="Normal 6 4 20 7" xfId="38424"/>
    <cellStyle name="Normal 6 4 21" xfId="5311"/>
    <cellStyle name="Normal 6 4 21 2" xfId="6738"/>
    <cellStyle name="Normal 6 4 21 3" xfId="18859"/>
    <cellStyle name="Normal 6 4 21 4" xfId="23902"/>
    <cellStyle name="Normal 6 4 21 5" xfId="28863"/>
    <cellStyle name="Normal 6 4 21 6" xfId="33721"/>
    <cellStyle name="Normal 6 4 21 7" xfId="38452"/>
    <cellStyle name="Normal 6 4 22" xfId="5368"/>
    <cellStyle name="Normal 6 4 22 2" xfId="6792"/>
    <cellStyle name="Normal 6 4 22 3" xfId="18913"/>
    <cellStyle name="Normal 6 4 22 4" xfId="23956"/>
    <cellStyle name="Normal 6 4 22 5" xfId="28917"/>
    <cellStyle name="Normal 6 4 22 6" xfId="33775"/>
    <cellStyle name="Normal 6 4 22 7" xfId="38506"/>
    <cellStyle name="Normal 6 4 23" xfId="5461"/>
    <cellStyle name="Normal 6 4 23 2" xfId="6695"/>
    <cellStyle name="Normal 6 4 23 3" xfId="18816"/>
    <cellStyle name="Normal 6 4 23 4" xfId="23859"/>
    <cellStyle name="Normal 6 4 23 5" xfId="28820"/>
    <cellStyle name="Normal 6 4 23 6" xfId="33678"/>
    <cellStyle name="Normal 6 4 23 7" xfId="38409"/>
    <cellStyle name="Normal 6 4 24" xfId="5269"/>
    <cellStyle name="Normal 6 4 24 2" xfId="7024"/>
    <cellStyle name="Normal 6 4 24 3" xfId="19163"/>
    <cellStyle name="Normal 6 4 24 4" xfId="24206"/>
    <cellStyle name="Normal 6 4 24 5" xfId="29167"/>
    <cellStyle name="Normal 6 4 24 6" xfId="34025"/>
    <cellStyle name="Normal 6 4 24 7" xfId="38756"/>
    <cellStyle name="Normal 6 4 25" xfId="5292"/>
    <cellStyle name="Normal 6 4 25 2" xfId="7095"/>
    <cellStyle name="Normal 6 4 25 3" xfId="19240"/>
    <cellStyle name="Normal 6 4 25 4" xfId="24283"/>
    <cellStyle name="Normal 6 4 25 5" xfId="29244"/>
    <cellStyle name="Normal 6 4 25 6" xfId="34102"/>
    <cellStyle name="Normal 6 4 25 7" xfId="38833"/>
    <cellStyle name="Normal 6 4 26" xfId="5341"/>
    <cellStyle name="Normal 6 4 26 2" xfId="7212"/>
    <cellStyle name="Normal 6 4 26 3" xfId="19369"/>
    <cellStyle name="Normal 6 4 26 4" xfId="24412"/>
    <cellStyle name="Normal 6 4 26 5" xfId="29373"/>
    <cellStyle name="Normal 6 4 26 6" xfId="34231"/>
    <cellStyle name="Normal 6 4 26 7" xfId="38962"/>
    <cellStyle name="Normal 6 4 27" xfId="5385"/>
    <cellStyle name="Normal 6 4 27 2" xfId="6977"/>
    <cellStyle name="Normal 6 4 27 3" xfId="19110"/>
    <cellStyle name="Normal 6 4 27 4" xfId="24153"/>
    <cellStyle name="Normal 6 4 27 5" xfId="29114"/>
    <cellStyle name="Normal 6 4 27 6" xfId="33972"/>
    <cellStyle name="Normal 6 4 27 7" xfId="38703"/>
    <cellStyle name="Normal 6 4 28" xfId="5374"/>
    <cellStyle name="Normal 6 4 28 2" xfId="7005"/>
    <cellStyle name="Normal 6 4 28 3" xfId="19144"/>
    <cellStyle name="Normal 6 4 28 4" xfId="24187"/>
    <cellStyle name="Normal 6 4 28 5" xfId="29148"/>
    <cellStyle name="Normal 6 4 28 6" xfId="34006"/>
    <cellStyle name="Normal 6 4 28 7" xfId="38737"/>
    <cellStyle name="Normal 6 4 29" xfId="5281"/>
    <cellStyle name="Normal 6 4 29 2" xfId="7219"/>
    <cellStyle name="Normal 6 4 29 3" xfId="19377"/>
    <cellStyle name="Normal 6 4 29 4" xfId="24420"/>
    <cellStyle name="Normal 6 4 29 5" xfId="29381"/>
    <cellStyle name="Normal 6 4 29 6" xfId="34239"/>
    <cellStyle name="Normal 6 4 29 7" xfId="38970"/>
    <cellStyle name="Normal 6 4 3" xfId="2514"/>
    <cellStyle name="Normal 6 4 3 10" xfId="4706"/>
    <cellStyle name="Normal 6 4 3 10 2" xfId="6022"/>
    <cellStyle name="Normal 6 4 3 10 3" xfId="18126"/>
    <cellStyle name="Normal 6 4 3 10 4" xfId="23169"/>
    <cellStyle name="Normal 6 4 3 10 5" xfId="28130"/>
    <cellStyle name="Normal 6 4 3 10 6" xfId="32988"/>
    <cellStyle name="Normal 6 4 3 10 7" xfId="37719"/>
    <cellStyle name="Normal 6 4 3 11" xfId="4863"/>
    <cellStyle name="Normal 6 4 3 11 2" xfId="6148"/>
    <cellStyle name="Normal 6 4 3 11 3" xfId="18252"/>
    <cellStyle name="Normal 6 4 3 11 4" xfId="23295"/>
    <cellStyle name="Normal 6 4 3 11 5" xfId="28256"/>
    <cellStyle name="Normal 6 4 3 11 6" xfId="33114"/>
    <cellStyle name="Normal 6 4 3 11 7" xfId="37845"/>
    <cellStyle name="Normal 6 4 3 12" xfId="4894"/>
    <cellStyle name="Normal 6 4 3 12 2" xfId="5953"/>
    <cellStyle name="Normal 6 4 3 12 3" xfId="18055"/>
    <cellStyle name="Normal 6 4 3 12 4" xfId="23098"/>
    <cellStyle name="Normal 6 4 3 12 5" xfId="28059"/>
    <cellStyle name="Normal 6 4 3 12 6" xfId="32917"/>
    <cellStyle name="Normal 6 4 3 12 7" xfId="37648"/>
    <cellStyle name="Normal 6 4 3 13" xfId="4780"/>
    <cellStyle name="Normal 6 4 3 13 2" xfId="6134"/>
    <cellStyle name="Normal 6 4 3 13 3" xfId="18238"/>
    <cellStyle name="Normal 6 4 3 13 4" xfId="23281"/>
    <cellStyle name="Normal 6 4 3 13 5" xfId="28242"/>
    <cellStyle name="Normal 6 4 3 13 6" xfId="33100"/>
    <cellStyle name="Normal 6 4 3 13 7" xfId="37831"/>
    <cellStyle name="Normal 6 4 3 14" xfId="4911"/>
    <cellStyle name="Normal 6 4 3 14 2" xfId="5855"/>
    <cellStyle name="Normal 6 4 3 14 3" xfId="17955"/>
    <cellStyle name="Normal 6 4 3 14 4" xfId="22998"/>
    <cellStyle name="Normal 6 4 3 14 5" xfId="27959"/>
    <cellStyle name="Normal 6 4 3 14 6" xfId="32817"/>
    <cellStyle name="Normal 6 4 3 14 7" xfId="37548"/>
    <cellStyle name="Normal 6 4 3 15" xfId="5088"/>
    <cellStyle name="Normal 6 4 3 15 2" xfId="6348"/>
    <cellStyle name="Normal 6 4 3 15 3" xfId="18456"/>
    <cellStyle name="Normal 6 4 3 15 4" xfId="23499"/>
    <cellStyle name="Normal 6 4 3 15 5" xfId="28460"/>
    <cellStyle name="Normal 6 4 3 15 6" xfId="33318"/>
    <cellStyle name="Normal 6 4 3 15 7" xfId="38049"/>
    <cellStyle name="Normal 6 4 3 16" xfId="5114"/>
    <cellStyle name="Normal 6 4 3 16 2" xfId="6099"/>
    <cellStyle name="Normal 6 4 3 16 3" xfId="18203"/>
    <cellStyle name="Normal 6 4 3 16 4" xfId="23246"/>
    <cellStyle name="Normal 6 4 3 16 5" xfId="28207"/>
    <cellStyle name="Normal 6 4 3 16 6" xfId="33065"/>
    <cellStyle name="Normal 6 4 3 16 7" xfId="37796"/>
    <cellStyle name="Normal 6 4 3 17" xfId="5038"/>
    <cellStyle name="Normal 6 4 3 17 2" xfId="5986"/>
    <cellStyle name="Normal 6 4 3 17 3" xfId="18089"/>
    <cellStyle name="Normal 6 4 3 17 4" xfId="23132"/>
    <cellStyle name="Normal 6 4 3 17 5" xfId="28093"/>
    <cellStyle name="Normal 6 4 3 17 6" xfId="32951"/>
    <cellStyle name="Normal 6 4 3 17 7" xfId="37682"/>
    <cellStyle name="Normal 6 4 3 18" xfId="4995"/>
    <cellStyle name="Normal 6 4 3 18 2" xfId="6782"/>
    <cellStyle name="Normal 6 4 3 18 3" xfId="18903"/>
    <cellStyle name="Normal 6 4 3 18 4" xfId="23946"/>
    <cellStyle name="Normal 6 4 3 18 5" xfId="28907"/>
    <cellStyle name="Normal 6 4 3 18 6" xfId="33765"/>
    <cellStyle name="Normal 6 4 3 18 7" xfId="38496"/>
    <cellStyle name="Normal 6 4 3 19" xfId="5442"/>
    <cellStyle name="Normal 6 4 3 19 2" xfId="6811"/>
    <cellStyle name="Normal 6 4 3 19 3" xfId="18932"/>
    <cellStyle name="Normal 6 4 3 19 4" xfId="23975"/>
    <cellStyle name="Normal 6 4 3 19 5" xfId="28936"/>
    <cellStyle name="Normal 6 4 3 19 6" xfId="33794"/>
    <cellStyle name="Normal 6 4 3 19 7" xfId="38525"/>
    <cellStyle name="Normal 6 4 3 2" xfId="4307"/>
    <cellStyle name="Normal 6 4 3 2 2" xfId="6221"/>
    <cellStyle name="Normal 6 4 3 2 3" xfId="18325"/>
    <cellStyle name="Normal 6 4 3 2 4" xfId="23368"/>
    <cellStyle name="Normal 6 4 3 2 5" xfId="28329"/>
    <cellStyle name="Normal 6 4 3 2 6" xfId="33187"/>
    <cellStyle name="Normal 6 4 3 2 7" xfId="37918"/>
    <cellStyle name="Normal 6 4 3 20" xfId="5514"/>
    <cellStyle name="Normal 6 4 3 20 2" xfId="6698"/>
    <cellStyle name="Normal 6 4 3 20 3" xfId="18819"/>
    <cellStyle name="Normal 6 4 3 20 4" xfId="23862"/>
    <cellStyle name="Normal 6 4 3 20 5" xfId="28823"/>
    <cellStyle name="Normal 6 4 3 20 6" xfId="33681"/>
    <cellStyle name="Normal 6 4 3 20 7" xfId="38412"/>
    <cellStyle name="Normal 6 4 3 21" xfId="5288"/>
    <cellStyle name="Normal 6 4 3 21 2" xfId="6834"/>
    <cellStyle name="Normal 6 4 3 21 3" xfId="18955"/>
    <cellStyle name="Normal 6 4 3 21 4" xfId="23998"/>
    <cellStyle name="Normal 6 4 3 21 5" xfId="28959"/>
    <cellStyle name="Normal 6 4 3 21 6" xfId="33817"/>
    <cellStyle name="Normal 6 4 3 21 7" xfId="38548"/>
    <cellStyle name="Normal 6 4 3 22" xfId="5557"/>
    <cellStyle name="Normal 6 4 3 22 2" xfId="7186"/>
    <cellStyle name="Normal 6 4 3 22 3" xfId="19341"/>
    <cellStyle name="Normal 6 4 3 22 4" xfId="24384"/>
    <cellStyle name="Normal 6 4 3 22 5" xfId="29345"/>
    <cellStyle name="Normal 6 4 3 22 6" xfId="34203"/>
    <cellStyle name="Normal 6 4 3 22 7" xfId="38934"/>
    <cellStyle name="Normal 6 4 3 23" xfId="5482"/>
    <cellStyle name="Normal 6 4 3 23 2" xfId="7262"/>
    <cellStyle name="Normal 6 4 3 23 3" xfId="19426"/>
    <cellStyle name="Normal 6 4 3 23 4" xfId="24469"/>
    <cellStyle name="Normal 6 4 3 23 5" xfId="29430"/>
    <cellStyle name="Normal 6 4 3 23 6" xfId="34288"/>
    <cellStyle name="Normal 6 4 3 23 7" xfId="39019"/>
    <cellStyle name="Normal 6 4 3 24" xfId="5400"/>
    <cellStyle name="Normal 6 4 3 24 2" xfId="6995"/>
    <cellStyle name="Normal 6 4 3 24 3" xfId="19132"/>
    <cellStyle name="Normal 6 4 3 24 4" xfId="24175"/>
    <cellStyle name="Normal 6 4 3 24 5" xfId="29136"/>
    <cellStyle name="Normal 6 4 3 24 6" xfId="33994"/>
    <cellStyle name="Normal 6 4 3 24 7" xfId="38725"/>
    <cellStyle name="Normal 6 4 3 25" xfId="5519"/>
    <cellStyle name="Normal 6 4 3 25 2" xfId="7333"/>
    <cellStyle name="Normal 6 4 3 25 3" xfId="19505"/>
    <cellStyle name="Normal 6 4 3 25 4" xfId="24548"/>
    <cellStyle name="Normal 6 4 3 25 5" xfId="29509"/>
    <cellStyle name="Normal 6 4 3 25 6" xfId="34367"/>
    <cellStyle name="Normal 6 4 3 25 7" xfId="39098"/>
    <cellStyle name="Normal 6 4 3 26" xfId="5211"/>
    <cellStyle name="Normal 6 4 3 26 2" xfId="7247"/>
    <cellStyle name="Normal 6 4 3 26 3" xfId="19409"/>
    <cellStyle name="Normal 6 4 3 26 4" xfId="24452"/>
    <cellStyle name="Normal 6 4 3 26 5" xfId="29413"/>
    <cellStyle name="Normal 6 4 3 26 6" xfId="34271"/>
    <cellStyle name="Normal 6 4 3 26 7" xfId="39002"/>
    <cellStyle name="Normal 6 4 3 27" xfId="5205"/>
    <cellStyle name="Normal 6 4 3 27 2" xfId="6947"/>
    <cellStyle name="Normal 6 4 3 27 3" xfId="19077"/>
    <cellStyle name="Normal 6 4 3 27 4" xfId="24120"/>
    <cellStyle name="Normal 6 4 3 27 5" xfId="29081"/>
    <cellStyle name="Normal 6 4 3 27 6" xfId="33939"/>
    <cellStyle name="Normal 6 4 3 27 7" xfId="38670"/>
    <cellStyle name="Normal 6 4 3 28" xfId="5792"/>
    <cellStyle name="Normal 6 4 3 28 2" xfId="14367"/>
    <cellStyle name="Normal 6 4 3 28 3" xfId="19288"/>
    <cellStyle name="Normal 6 4 3 28 4" xfId="24331"/>
    <cellStyle name="Normal 6 4 3 28 5" xfId="29292"/>
    <cellStyle name="Normal 6 4 3 28 6" xfId="34150"/>
    <cellStyle name="Normal 6 4 3 28 7" xfId="38881"/>
    <cellStyle name="Normal 6 4 3 29" xfId="7107"/>
    <cellStyle name="Normal 6 4 3 29 2" xfId="14347"/>
    <cellStyle name="Normal 6 4 3 29 3" xfId="19253"/>
    <cellStyle name="Normal 6 4 3 29 4" xfId="24296"/>
    <cellStyle name="Normal 6 4 3 29 5" xfId="29257"/>
    <cellStyle name="Normal 6 4 3 29 6" xfId="34115"/>
    <cellStyle name="Normal 6 4 3 29 7" xfId="38846"/>
    <cellStyle name="Normal 6 4 3 3" xfId="4318"/>
    <cellStyle name="Normal 6 4 3 3 2" xfId="6336"/>
    <cellStyle name="Normal 6 4 3 3 3" xfId="18444"/>
    <cellStyle name="Normal 6 4 3 3 4" xfId="23487"/>
    <cellStyle name="Normal 6 4 3 3 5" xfId="28448"/>
    <cellStyle name="Normal 6 4 3 3 6" xfId="33306"/>
    <cellStyle name="Normal 6 4 3 3 7" xfId="38037"/>
    <cellStyle name="Normal 6 4 3 30" xfId="7038"/>
    <cellStyle name="Normal 6 4 3 30 2" xfId="14309"/>
    <cellStyle name="Normal 6 4 3 30 3" xfId="19179"/>
    <cellStyle name="Normal 6 4 3 30 4" xfId="24222"/>
    <cellStyle name="Normal 6 4 3 30 5" xfId="29183"/>
    <cellStyle name="Normal 6 4 3 30 6" xfId="34041"/>
    <cellStyle name="Normal 6 4 3 30 7" xfId="38772"/>
    <cellStyle name="Normal 6 4 3 31" xfId="7130"/>
    <cellStyle name="Normal 6 4 3 31 2" xfId="14362"/>
    <cellStyle name="Normal 6 4 3 31 3" xfId="19279"/>
    <cellStyle name="Normal 6 4 3 31 4" xfId="24322"/>
    <cellStyle name="Normal 6 4 3 31 5" xfId="29283"/>
    <cellStyle name="Normal 6 4 3 31 6" xfId="34141"/>
    <cellStyle name="Normal 6 4 3 31 7" xfId="38872"/>
    <cellStyle name="Normal 6 4 3 32" xfId="6987"/>
    <cellStyle name="Normal 6 4 3 32 2" xfId="14283"/>
    <cellStyle name="Normal 6 4 3 32 3" xfId="19122"/>
    <cellStyle name="Normal 6 4 3 32 4" xfId="24165"/>
    <cellStyle name="Normal 6 4 3 32 5" xfId="29126"/>
    <cellStyle name="Normal 6 4 3 32 6" xfId="33984"/>
    <cellStyle name="Normal 6 4 3 32 7" xfId="38715"/>
    <cellStyle name="Normal 6 4 3 33" xfId="7122"/>
    <cellStyle name="Normal 6 4 3 33 2" xfId="14356"/>
    <cellStyle name="Normal 6 4 3 33 3" xfId="19270"/>
    <cellStyle name="Normal 6 4 3 33 4" xfId="24313"/>
    <cellStyle name="Normal 6 4 3 33 5" xfId="29274"/>
    <cellStyle name="Normal 6 4 3 33 6" xfId="34132"/>
    <cellStyle name="Normal 6 4 3 33 7" xfId="38863"/>
    <cellStyle name="Normal 6 4 3 34" xfId="7847"/>
    <cellStyle name="Normal 6 4 3 34 2" xfId="14927"/>
    <cellStyle name="Normal 6 4 3 34 3" xfId="20044"/>
    <cellStyle name="Normal 6 4 3 34 4" xfId="25087"/>
    <cellStyle name="Normal 6 4 3 34 5" xfId="30048"/>
    <cellStyle name="Normal 6 4 3 34 6" xfId="34906"/>
    <cellStyle name="Normal 6 4 3 34 7" xfId="39637"/>
    <cellStyle name="Normal 6 4 3 35" xfId="7948"/>
    <cellStyle name="Normal 6 4 3 35 2" xfId="15028"/>
    <cellStyle name="Normal 6 4 3 35 3" xfId="20145"/>
    <cellStyle name="Normal 6 4 3 35 4" xfId="25188"/>
    <cellStyle name="Normal 6 4 3 35 5" xfId="30149"/>
    <cellStyle name="Normal 6 4 3 35 6" xfId="35007"/>
    <cellStyle name="Normal 6 4 3 35 7" xfId="39738"/>
    <cellStyle name="Normal 6 4 3 36" xfId="7617"/>
    <cellStyle name="Normal 6 4 3 36 2" xfId="14697"/>
    <cellStyle name="Normal 6 4 3 36 3" xfId="19814"/>
    <cellStyle name="Normal 6 4 3 36 4" xfId="24857"/>
    <cellStyle name="Normal 6 4 3 36 5" xfId="29818"/>
    <cellStyle name="Normal 6 4 3 36 6" xfId="34676"/>
    <cellStyle name="Normal 6 4 3 36 7" xfId="39407"/>
    <cellStyle name="Normal 6 4 3 37" xfId="8048"/>
    <cellStyle name="Normal 6 4 3 37 2" xfId="15128"/>
    <cellStyle name="Normal 6 4 3 37 3" xfId="20245"/>
    <cellStyle name="Normal 6 4 3 37 4" xfId="25288"/>
    <cellStyle name="Normal 6 4 3 37 5" xfId="30249"/>
    <cellStyle name="Normal 6 4 3 37 6" xfId="35107"/>
    <cellStyle name="Normal 6 4 3 37 7" xfId="39838"/>
    <cellStyle name="Normal 6 4 3 38" xfId="7928"/>
    <cellStyle name="Normal 6 4 3 38 2" xfId="15008"/>
    <cellStyle name="Normal 6 4 3 38 3" xfId="20125"/>
    <cellStyle name="Normal 6 4 3 38 4" xfId="25168"/>
    <cellStyle name="Normal 6 4 3 38 5" xfId="30129"/>
    <cellStyle name="Normal 6 4 3 38 6" xfId="34987"/>
    <cellStyle name="Normal 6 4 3 38 7" xfId="39718"/>
    <cellStyle name="Normal 6 4 3 39" xfId="7551"/>
    <cellStyle name="Normal 6 4 3 39 2" xfId="14629"/>
    <cellStyle name="Normal 6 4 3 39 3" xfId="19746"/>
    <cellStyle name="Normal 6 4 3 39 4" xfId="24789"/>
    <cellStyle name="Normal 6 4 3 39 5" xfId="29750"/>
    <cellStyle name="Normal 6 4 3 39 6" xfId="34608"/>
    <cellStyle name="Normal 6 4 3 39 7" xfId="39339"/>
    <cellStyle name="Normal 6 4 3 4" xfId="4334"/>
    <cellStyle name="Normal 6 4 3 4 2" xfId="5964"/>
    <cellStyle name="Normal 6 4 3 4 3" xfId="18066"/>
    <cellStyle name="Normal 6 4 3 4 4" xfId="23109"/>
    <cellStyle name="Normal 6 4 3 4 5" xfId="28070"/>
    <cellStyle name="Normal 6 4 3 4 6" xfId="32928"/>
    <cellStyle name="Normal 6 4 3 4 7" xfId="37659"/>
    <cellStyle name="Normal 6 4 3 40" xfId="7790"/>
    <cellStyle name="Normal 6 4 3 40 2" xfId="14870"/>
    <cellStyle name="Normal 6 4 3 40 3" xfId="19987"/>
    <cellStyle name="Normal 6 4 3 40 4" xfId="25030"/>
    <cellStyle name="Normal 6 4 3 40 5" xfId="29991"/>
    <cellStyle name="Normal 6 4 3 40 6" xfId="34849"/>
    <cellStyle name="Normal 6 4 3 40 7" xfId="39580"/>
    <cellStyle name="Normal 6 4 3 41" xfId="7750"/>
    <cellStyle name="Normal 6 4 3 41 2" xfId="14830"/>
    <cellStyle name="Normal 6 4 3 41 3" xfId="19947"/>
    <cellStyle name="Normal 6 4 3 41 4" xfId="24990"/>
    <cellStyle name="Normal 6 4 3 41 5" xfId="29951"/>
    <cellStyle name="Normal 6 4 3 41 6" xfId="34809"/>
    <cellStyle name="Normal 6 4 3 41 7" xfId="39540"/>
    <cellStyle name="Normal 6 4 3 42" xfId="7669"/>
    <cellStyle name="Normal 6 4 3 42 2" xfId="14749"/>
    <cellStyle name="Normal 6 4 3 42 3" xfId="19866"/>
    <cellStyle name="Normal 6 4 3 42 4" xfId="24909"/>
    <cellStyle name="Normal 6 4 3 42 5" xfId="29870"/>
    <cellStyle name="Normal 6 4 3 42 6" xfId="34728"/>
    <cellStyle name="Normal 6 4 3 42 7" xfId="39459"/>
    <cellStyle name="Normal 6 4 3 43" xfId="7781"/>
    <cellStyle name="Normal 6 4 3 43 2" xfId="14861"/>
    <cellStyle name="Normal 6 4 3 43 3" xfId="19978"/>
    <cellStyle name="Normal 6 4 3 43 4" xfId="25021"/>
    <cellStyle name="Normal 6 4 3 43 5" xfId="29982"/>
    <cellStyle name="Normal 6 4 3 43 6" xfId="34840"/>
    <cellStyle name="Normal 6 4 3 43 7" xfId="39571"/>
    <cellStyle name="Normal 6 4 3 44" xfId="7607"/>
    <cellStyle name="Normal 6 4 3 44 2" xfId="14687"/>
    <cellStyle name="Normal 6 4 3 44 3" xfId="19804"/>
    <cellStyle name="Normal 6 4 3 44 4" xfId="24847"/>
    <cellStyle name="Normal 6 4 3 44 5" xfId="29808"/>
    <cellStyle name="Normal 6 4 3 44 6" xfId="34666"/>
    <cellStyle name="Normal 6 4 3 44 7" xfId="39397"/>
    <cellStyle name="Normal 6 4 3 45" xfId="7770"/>
    <cellStyle name="Normal 6 4 3 45 2" xfId="14850"/>
    <cellStyle name="Normal 6 4 3 45 3" xfId="19967"/>
    <cellStyle name="Normal 6 4 3 45 4" xfId="25010"/>
    <cellStyle name="Normal 6 4 3 45 5" xfId="29971"/>
    <cellStyle name="Normal 6 4 3 45 6" xfId="34829"/>
    <cellStyle name="Normal 6 4 3 45 7" xfId="39560"/>
    <cellStyle name="Normal 6 4 3 46" xfId="7517"/>
    <cellStyle name="Normal 6 4 3 46 2" xfId="14595"/>
    <cellStyle name="Normal 6 4 3 46 3" xfId="19712"/>
    <cellStyle name="Normal 6 4 3 46 4" xfId="24755"/>
    <cellStyle name="Normal 6 4 3 46 5" xfId="29716"/>
    <cellStyle name="Normal 6 4 3 46 6" xfId="34574"/>
    <cellStyle name="Normal 6 4 3 46 7" xfId="39305"/>
    <cellStyle name="Normal 6 4 3 47" xfId="7958"/>
    <cellStyle name="Normal 6 4 3 47 2" xfId="15038"/>
    <cellStyle name="Normal 6 4 3 47 3" xfId="20155"/>
    <cellStyle name="Normal 6 4 3 47 4" xfId="25198"/>
    <cellStyle name="Normal 6 4 3 47 5" xfId="30159"/>
    <cellStyle name="Normal 6 4 3 47 6" xfId="35017"/>
    <cellStyle name="Normal 6 4 3 47 7" xfId="39748"/>
    <cellStyle name="Normal 6 4 3 48" xfId="8642"/>
    <cellStyle name="Normal 6 4 3 48 2" xfId="15723"/>
    <cellStyle name="Normal 6 4 3 48 3" xfId="20840"/>
    <cellStyle name="Normal 6 4 3 48 4" xfId="25883"/>
    <cellStyle name="Normal 6 4 3 48 5" xfId="30844"/>
    <cellStyle name="Normal 6 4 3 48 6" xfId="35702"/>
    <cellStyle name="Normal 6 4 3 48 7" xfId="40433"/>
    <cellStyle name="Normal 6 4 3 49" xfId="8747"/>
    <cellStyle name="Normal 6 4 3 49 2" xfId="15828"/>
    <cellStyle name="Normal 6 4 3 49 3" xfId="20945"/>
    <cellStyle name="Normal 6 4 3 49 4" xfId="25988"/>
    <cellStyle name="Normal 6 4 3 49 5" xfId="30949"/>
    <cellStyle name="Normal 6 4 3 49 6" xfId="35807"/>
    <cellStyle name="Normal 6 4 3 49 7" xfId="40538"/>
    <cellStyle name="Normal 6 4 3 5" xfId="4424"/>
    <cellStyle name="Normal 6 4 3 5 2" xfId="6444"/>
    <cellStyle name="Normal 6 4 3 5 3" xfId="18554"/>
    <cellStyle name="Normal 6 4 3 5 4" xfId="23597"/>
    <cellStyle name="Normal 6 4 3 5 5" xfId="28558"/>
    <cellStyle name="Normal 6 4 3 5 6" xfId="33416"/>
    <cellStyle name="Normal 6 4 3 5 7" xfId="38147"/>
    <cellStyle name="Normal 6 4 3 50" xfId="8391"/>
    <cellStyle name="Normal 6 4 3 50 2" xfId="15472"/>
    <cellStyle name="Normal 6 4 3 50 3" xfId="20589"/>
    <cellStyle name="Normal 6 4 3 50 4" xfId="25632"/>
    <cellStyle name="Normal 6 4 3 50 5" xfId="30593"/>
    <cellStyle name="Normal 6 4 3 50 6" xfId="35451"/>
    <cellStyle name="Normal 6 4 3 50 7" xfId="40182"/>
    <cellStyle name="Normal 6 4 3 51" xfId="8849"/>
    <cellStyle name="Normal 6 4 3 51 2" xfId="15930"/>
    <cellStyle name="Normal 6 4 3 51 3" xfId="21047"/>
    <cellStyle name="Normal 6 4 3 51 4" xfId="26090"/>
    <cellStyle name="Normal 6 4 3 51 5" xfId="31051"/>
    <cellStyle name="Normal 6 4 3 51 6" xfId="35909"/>
    <cellStyle name="Normal 6 4 3 51 7" xfId="40640"/>
    <cellStyle name="Normal 6 4 3 52" xfId="8725"/>
    <cellStyle name="Normal 6 4 3 52 2" xfId="15806"/>
    <cellStyle name="Normal 6 4 3 52 3" xfId="20923"/>
    <cellStyle name="Normal 6 4 3 52 4" xfId="25966"/>
    <cellStyle name="Normal 6 4 3 52 5" xfId="30927"/>
    <cellStyle name="Normal 6 4 3 52 6" xfId="35785"/>
    <cellStyle name="Normal 6 4 3 52 7" xfId="40516"/>
    <cellStyle name="Normal 6 4 3 53" xfId="8333"/>
    <cellStyle name="Normal 6 4 3 53 2" xfId="15414"/>
    <cellStyle name="Normal 6 4 3 53 3" xfId="20531"/>
    <cellStyle name="Normal 6 4 3 53 4" xfId="25574"/>
    <cellStyle name="Normal 6 4 3 53 5" xfId="30535"/>
    <cellStyle name="Normal 6 4 3 53 6" xfId="35393"/>
    <cellStyle name="Normal 6 4 3 53 7" xfId="40124"/>
    <cellStyle name="Normal 6 4 3 54" xfId="8571"/>
    <cellStyle name="Normal 6 4 3 54 2" xfId="15652"/>
    <cellStyle name="Normal 6 4 3 54 3" xfId="20769"/>
    <cellStyle name="Normal 6 4 3 54 4" xfId="25812"/>
    <cellStyle name="Normal 6 4 3 54 5" xfId="30773"/>
    <cellStyle name="Normal 6 4 3 54 6" xfId="35631"/>
    <cellStyle name="Normal 6 4 3 54 7" xfId="40362"/>
    <cellStyle name="Normal 6 4 3 55" xfId="8791"/>
    <cellStyle name="Normal 6 4 3 55 2" xfId="15872"/>
    <cellStyle name="Normal 6 4 3 55 3" xfId="20989"/>
    <cellStyle name="Normal 6 4 3 55 4" xfId="26032"/>
    <cellStyle name="Normal 6 4 3 55 5" xfId="30993"/>
    <cellStyle name="Normal 6 4 3 55 6" xfId="35851"/>
    <cellStyle name="Normal 6 4 3 55 7" xfId="40582"/>
    <cellStyle name="Normal 6 4 3 56" xfId="8959"/>
    <cellStyle name="Normal 6 4 3 56 2" xfId="16040"/>
    <cellStyle name="Normal 6 4 3 56 3" xfId="21157"/>
    <cellStyle name="Normal 6 4 3 56 4" xfId="26200"/>
    <cellStyle name="Normal 6 4 3 56 5" xfId="31161"/>
    <cellStyle name="Normal 6 4 3 56 6" xfId="36019"/>
    <cellStyle name="Normal 6 4 3 56 7" xfId="40750"/>
    <cellStyle name="Normal 6 4 3 57" xfId="8928"/>
    <cellStyle name="Normal 6 4 3 57 2" xfId="16009"/>
    <cellStyle name="Normal 6 4 3 57 3" xfId="21126"/>
    <cellStyle name="Normal 6 4 3 57 4" xfId="26169"/>
    <cellStyle name="Normal 6 4 3 57 5" xfId="31130"/>
    <cellStyle name="Normal 6 4 3 57 6" xfId="35988"/>
    <cellStyle name="Normal 6 4 3 57 7" xfId="40719"/>
    <cellStyle name="Normal 6 4 3 58" xfId="8303"/>
    <cellStyle name="Normal 6 4 3 58 2" xfId="15384"/>
    <cellStyle name="Normal 6 4 3 58 3" xfId="20501"/>
    <cellStyle name="Normal 6 4 3 58 4" xfId="25544"/>
    <cellStyle name="Normal 6 4 3 58 5" xfId="30505"/>
    <cellStyle name="Normal 6 4 3 58 6" xfId="35363"/>
    <cellStyle name="Normal 6 4 3 58 7" xfId="40094"/>
    <cellStyle name="Normal 6 4 3 59" xfId="8288"/>
    <cellStyle name="Normal 6 4 3 59 2" xfId="15369"/>
    <cellStyle name="Normal 6 4 3 59 3" xfId="20486"/>
    <cellStyle name="Normal 6 4 3 59 4" xfId="25529"/>
    <cellStyle name="Normal 6 4 3 59 5" xfId="30490"/>
    <cellStyle name="Normal 6 4 3 59 6" xfId="35348"/>
    <cellStyle name="Normal 6 4 3 59 7" xfId="40079"/>
    <cellStyle name="Normal 6 4 3 6" xfId="4480"/>
    <cellStyle name="Normal 6 4 3 6 2" xfId="6311"/>
    <cellStyle name="Normal 6 4 3 6 3" xfId="18419"/>
    <cellStyle name="Normal 6 4 3 6 4" xfId="23462"/>
    <cellStyle name="Normal 6 4 3 6 5" xfId="28423"/>
    <cellStyle name="Normal 6 4 3 6 6" xfId="33281"/>
    <cellStyle name="Normal 6 4 3 6 7" xfId="38012"/>
    <cellStyle name="Normal 6 4 3 60" xfId="8460"/>
    <cellStyle name="Normal 6 4 3 60 2" xfId="15541"/>
    <cellStyle name="Normal 6 4 3 60 3" xfId="20658"/>
    <cellStyle name="Normal 6 4 3 60 4" xfId="25701"/>
    <cellStyle name="Normal 6 4 3 60 5" xfId="30662"/>
    <cellStyle name="Normal 6 4 3 60 6" xfId="35520"/>
    <cellStyle name="Normal 6 4 3 60 7" xfId="40251"/>
    <cellStyle name="Normal 6 4 3 61" xfId="8539"/>
    <cellStyle name="Normal 6 4 3 61 2" xfId="15620"/>
    <cellStyle name="Normal 6 4 3 61 3" xfId="20737"/>
    <cellStyle name="Normal 6 4 3 61 4" xfId="25780"/>
    <cellStyle name="Normal 6 4 3 61 5" xfId="30741"/>
    <cellStyle name="Normal 6 4 3 61 6" xfId="35599"/>
    <cellStyle name="Normal 6 4 3 61 7" xfId="40330"/>
    <cellStyle name="Normal 6 4 3 62" xfId="8971"/>
    <cellStyle name="Normal 6 4 3 62 2" xfId="16052"/>
    <cellStyle name="Normal 6 4 3 62 3" xfId="21169"/>
    <cellStyle name="Normal 6 4 3 62 4" xfId="26212"/>
    <cellStyle name="Normal 6 4 3 62 5" xfId="31173"/>
    <cellStyle name="Normal 6 4 3 62 6" xfId="36031"/>
    <cellStyle name="Normal 6 4 3 62 7" xfId="40762"/>
    <cellStyle name="Normal 6 4 3 63" xfId="9401"/>
    <cellStyle name="Normal 6 4 3 63 2" xfId="16482"/>
    <cellStyle name="Normal 6 4 3 63 3" xfId="21599"/>
    <cellStyle name="Normal 6 4 3 63 4" xfId="26642"/>
    <cellStyle name="Normal 6 4 3 63 5" xfId="31603"/>
    <cellStyle name="Normal 6 4 3 63 6" xfId="36461"/>
    <cellStyle name="Normal 6 4 3 63 7" xfId="41192"/>
    <cellStyle name="Normal 6 4 3 64" xfId="9486"/>
    <cellStyle name="Normal 6 4 3 64 2" xfId="16567"/>
    <cellStyle name="Normal 6 4 3 64 3" xfId="21684"/>
    <cellStyle name="Normal 6 4 3 64 4" xfId="26727"/>
    <cellStyle name="Normal 6 4 3 64 5" xfId="31688"/>
    <cellStyle name="Normal 6 4 3 64 6" xfId="36546"/>
    <cellStyle name="Normal 6 4 3 64 7" xfId="41277"/>
    <cellStyle name="Normal 6 4 3 65" xfId="9192"/>
    <cellStyle name="Normal 6 4 3 65 2" xfId="16273"/>
    <cellStyle name="Normal 6 4 3 65 3" xfId="21390"/>
    <cellStyle name="Normal 6 4 3 65 4" xfId="26433"/>
    <cellStyle name="Normal 6 4 3 65 5" xfId="31394"/>
    <cellStyle name="Normal 6 4 3 65 6" xfId="36252"/>
    <cellStyle name="Normal 6 4 3 65 7" xfId="40983"/>
    <cellStyle name="Normal 6 4 3 66" xfId="9565"/>
    <cellStyle name="Normal 6 4 3 66 2" xfId="16646"/>
    <cellStyle name="Normal 6 4 3 66 3" xfId="21763"/>
    <cellStyle name="Normal 6 4 3 66 4" xfId="26806"/>
    <cellStyle name="Normal 6 4 3 66 5" xfId="31767"/>
    <cellStyle name="Normal 6 4 3 66 6" xfId="36625"/>
    <cellStyle name="Normal 6 4 3 66 7" xfId="41356"/>
    <cellStyle name="Normal 6 4 3 67" xfId="9469"/>
    <cellStyle name="Normal 6 4 3 67 2" xfId="16550"/>
    <cellStyle name="Normal 6 4 3 67 3" xfId="21667"/>
    <cellStyle name="Normal 6 4 3 67 4" xfId="26710"/>
    <cellStyle name="Normal 6 4 3 67 5" xfId="31671"/>
    <cellStyle name="Normal 6 4 3 67 6" xfId="36529"/>
    <cellStyle name="Normal 6 4 3 67 7" xfId="41260"/>
    <cellStyle name="Normal 6 4 3 68" xfId="9137"/>
    <cellStyle name="Normal 6 4 3 68 2" xfId="16218"/>
    <cellStyle name="Normal 6 4 3 68 3" xfId="21335"/>
    <cellStyle name="Normal 6 4 3 68 4" xfId="26378"/>
    <cellStyle name="Normal 6 4 3 68 5" xfId="31339"/>
    <cellStyle name="Normal 6 4 3 68 6" xfId="36197"/>
    <cellStyle name="Normal 6 4 3 68 7" xfId="40928"/>
    <cellStyle name="Normal 6 4 3 69" xfId="9348"/>
    <cellStyle name="Normal 6 4 3 69 2" xfId="16429"/>
    <cellStyle name="Normal 6 4 3 69 3" xfId="21546"/>
    <cellStyle name="Normal 6 4 3 69 4" xfId="26589"/>
    <cellStyle name="Normal 6 4 3 69 5" xfId="31550"/>
    <cellStyle name="Normal 6 4 3 69 6" xfId="36408"/>
    <cellStyle name="Normal 6 4 3 69 7" xfId="41139"/>
    <cellStyle name="Normal 6 4 3 7" xfId="4589"/>
    <cellStyle name="Normal 6 4 3 7 2" xfId="5892"/>
    <cellStyle name="Normal 6 4 3 7 3" xfId="17992"/>
    <cellStyle name="Normal 6 4 3 7 4" xfId="23035"/>
    <cellStyle name="Normal 6 4 3 7 5" xfId="27996"/>
    <cellStyle name="Normal 6 4 3 7 6" xfId="32854"/>
    <cellStyle name="Normal 6 4 3 7 7" xfId="37585"/>
    <cellStyle name="Normal 6 4 3 70" xfId="9313"/>
    <cellStyle name="Normal 6 4 3 70 2" xfId="16394"/>
    <cellStyle name="Normal 6 4 3 70 3" xfId="21511"/>
    <cellStyle name="Normal 6 4 3 70 4" xfId="26554"/>
    <cellStyle name="Normal 6 4 3 70 5" xfId="31515"/>
    <cellStyle name="Normal 6 4 3 70 6" xfId="36373"/>
    <cellStyle name="Normal 6 4 3 70 7" xfId="41104"/>
    <cellStyle name="Normal 6 4 3 71" xfId="9239"/>
    <cellStyle name="Normal 6 4 3 71 2" xfId="16320"/>
    <cellStyle name="Normal 6 4 3 71 3" xfId="21437"/>
    <cellStyle name="Normal 6 4 3 71 4" xfId="26480"/>
    <cellStyle name="Normal 6 4 3 71 5" xfId="31441"/>
    <cellStyle name="Normal 6 4 3 71 6" xfId="36299"/>
    <cellStyle name="Normal 6 4 3 71 7" xfId="41030"/>
    <cellStyle name="Normal 6 4 3 72" xfId="9339"/>
    <cellStyle name="Normal 6 4 3 72 2" xfId="16420"/>
    <cellStyle name="Normal 6 4 3 72 3" xfId="21537"/>
    <cellStyle name="Normal 6 4 3 72 4" xfId="26580"/>
    <cellStyle name="Normal 6 4 3 72 5" xfId="31541"/>
    <cellStyle name="Normal 6 4 3 72 6" xfId="36399"/>
    <cellStyle name="Normal 6 4 3 72 7" xfId="41130"/>
    <cellStyle name="Normal 6 4 3 73" xfId="9182"/>
    <cellStyle name="Normal 6 4 3 73 2" xfId="16263"/>
    <cellStyle name="Normal 6 4 3 73 3" xfId="21380"/>
    <cellStyle name="Normal 6 4 3 73 4" xfId="26423"/>
    <cellStyle name="Normal 6 4 3 73 5" xfId="31384"/>
    <cellStyle name="Normal 6 4 3 73 6" xfId="36242"/>
    <cellStyle name="Normal 6 4 3 73 7" xfId="40973"/>
    <cellStyle name="Normal 6 4 3 74" xfId="9330"/>
    <cellStyle name="Normal 6 4 3 74 2" xfId="16411"/>
    <cellStyle name="Normal 6 4 3 74 3" xfId="21528"/>
    <cellStyle name="Normal 6 4 3 74 4" xfId="26571"/>
    <cellStyle name="Normal 6 4 3 74 5" xfId="31532"/>
    <cellStyle name="Normal 6 4 3 74 6" xfId="36390"/>
    <cellStyle name="Normal 6 4 3 74 7" xfId="41121"/>
    <cellStyle name="Normal 6 4 3 75" xfId="9896"/>
    <cellStyle name="Normal 6 4 3 75 2" xfId="16977"/>
    <cellStyle name="Normal 6 4 3 75 3" xfId="22094"/>
    <cellStyle name="Normal 6 4 3 75 4" xfId="27137"/>
    <cellStyle name="Normal 6 4 3 75 5" xfId="32098"/>
    <cellStyle name="Normal 6 4 3 75 6" xfId="36956"/>
    <cellStyle name="Normal 6 4 3 75 7" xfId="41687"/>
    <cellStyle name="Normal 6 4 3 76" xfId="9945"/>
    <cellStyle name="Normal 6 4 3 76 2" xfId="17026"/>
    <cellStyle name="Normal 6 4 3 76 3" xfId="22143"/>
    <cellStyle name="Normal 6 4 3 76 4" xfId="27186"/>
    <cellStyle name="Normal 6 4 3 76 5" xfId="32147"/>
    <cellStyle name="Normal 6 4 3 76 6" xfId="37005"/>
    <cellStyle name="Normal 6 4 3 76 7" xfId="41736"/>
    <cellStyle name="Normal 6 4 3 77" xfId="9780"/>
    <cellStyle name="Normal 6 4 3 77 2" xfId="16861"/>
    <cellStyle name="Normal 6 4 3 77 3" xfId="21978"/>
    <cellStyle name="Normal 6 4 3 77 4" xfId="27021"/>
    <cellStyle name="Normal 6 4 3 77 5" xfId="31982"/>
    <cellStyle name="Normal 6 4 3 77 6" xfId="36840"/>
    <cellStyle name="Normal 6 4 3 77 7" xfId="41571"/>
    <cellStyle name="Normal 6 4 3 78" xfId="9982"/>
    <cellStyle name="Normal 6 4 3 78 2" xfId="17063"/>
    <cellStyle name="Normal 6 4 3 78 3" xfId="22180"/>
    <cellStyle name="Normal 6 4 3 78 4" xfId="27223"/>
    <cellStyle name="Normal 6 4 3 78 5" xfId="32184"/>
    <cellStyle name="Normal 6 4 3 78 6" xfId="37042"/>
    <cellStyle name="Normal 6 4 3 78 7" xfId="41773"/>
    <cellStyle name="Normal 6 4 3 79" xfId="9934"/>
    <cellStyle name="Normal 6 4 3 79 2" xfId="17015"/>
    <cellStyle name="Normal 6 4 3 79 3" xfId="22132"/>
    <cellStyle name="Normal 6 4 3 79 4" xfId="27175"/>
    <cellStyle name="Normal 6 4 3 79 5" xfId="32136"/>
    <cellStyle name="Normal 6 4 3 79 6" xfId="36994"/>
    <cellStyle name="Normal 6 4 3 79 7" xfId="41725"/>
    <cellStyle name="Normal 6 4 3 8" xfId="4607"/>
    <cellStyle name="Normal 6 4 3 8 2" xfId="6159"/>
    <cellStyle name="Normal 6 4 3 8 3" xfId="18263"/>
    <cellStyle name="Normal 6 4 3 8 4" xfId="23306"/>
    <cellStyle name="Normal 6 4 3 8 5" xfId="28267"/>
    <cellStyle name="Normal 6 4 3 8 6" xfId="33125"/>
    <cellStyle name="Normal 6 4 3 8 7" xfId="37856"/>
    <cellStyle name="Normal 6 4 3 80" xfId="9758"/>
    <cellStyle name="Normal 6 4 3 80 2" xfId="16839"/>
    <cellStyle name="Normal 6 4 3 80 3" xfId="21956"/>
    <cellStyle name="Normal 6 4 3 80 4" xfId="26999"/>
    <cellStyle name="Normal 6 4 3 80 5" xfId="31960"/>
    <cellStyle name="Normal 6 4 3 80 6" xfId="36818"/>
    <cellStyle name="Normal 6 4 3 80 7" xfId="41549"/>
    <cellStyle name="Normal 6 4 3 81" xfId="10226"/>
    <cellStyle name="Normal 6 4 3 81 2" xfId="17307"/>
    <cellStyle name="Normal 6 4 3 81 3" xfId="22424"/>
    <cellStyle name="Normal 6 4 3 81 4" xfId="27467"/>
    <cellStyle name="Normal 6 4 3 81 5" xfId="32428"/>
    <cellStyle name="Normal 6 4 3 81 6" xfId="37286"/>
    <cellStyle name="Normal 6 4 3 81 7" xfId="42017"/>
    <cellStyle name="Normal 6 4 3 82" xfId="10275"/>
    <cellStyle name="Normal 6 4 3 82 2" xfId="17356"/>
    <cellStyle name="Normal 6 4 3 82 3" xfId="22473"/>
    <cellStyle name="Normal 6 4 3 82 4" xfId="27516"/>
    <cellStyle name="Normal 6 4 3 82 5" xfId="32477"/>
    <cellStyle name="Normal 6 4 3 82 6" xfId="37335"/>
    <cellStyle name="Normal 6 4 3 82 7" xfId="42066"/>
    <cellStyle name="Normal 6 4 3 83" xfId="10110"/>
    <cellStyle name="Normal 6 4 3 83 2" xfId="17191"/>
    <cellStyle name="Normal 6 4 3 83 3" xfId="22308"/>
    <cellStyle name="Normal 6 4 3 83 4" xfId="27351"/>
    <cellStyle name="Normal 6 4 3 83 5" xfId="32312"/>
    <cellStyle name="Normal 6 4 3 83 6" xfId="37170"/>
    <cellStyle name="Normal 6 4 3 83 7" xfId="41901"/>
    <cellStyle name="Normal 6 4 3 84" xfId="10312"/>
    <cellStyle name="Normal 6 4 3 84 2" xfId="17393"/>
    <cellStyle name="Normal 6 4 3 84 3" xfId="22510"/>
    <cellStyle name="Normal 6 4 3 84 4" xfId="27553"/>
    <cellStyle name="Normal 6 4 3 84 5" xfId="32514"/>
    <cellStyle name="Normal 6 4 3 84 6" xfId="37372"/>
    <cellStyle name="Normal 6 4 3 84 7" xfId="42103"/>
    <cellStyle name="Normal 6 4 3 85" xfId="10264"/>
    <cellStyle name="Normal 6 4 3 85 2" xfId="17345"/>
    <cellStyle name="Normal 6 4 3 85 3" xfId="22462"/>
    <cellStyle name="Normal 6 4 3 85 4" xfId="27505"/>
    <cellStyle name="Normal 6 4 3 85 5" xfId="32466"/>
    <cellStyle name="Normal 6 4 3 85 6" xfId="37324"/>
    <cellStyle name="Normal 6 4 3 85 7" xfId="42055"/>
    <cellStyle name="Normal 6 4 3 86" xfId="10088"/>
    <cellStyle name="Normal 6 4 3 86 2" xfId="17169"/>
    <cellStyle name="Normal 6 4 3 86 3" xfId="22286"/>
    <cellStyle name="Normal 6 4 3 86 4" xfId="27329"/>
    <cellStyle name="Normal 6 4 3 86 5" xfId="32290"/>
    <cellStyle name="Normal 6 4 3 86 6" xfId="37148"/>
    <cellStyle name="Normal 6 4 3 86 7" xfId="41879"/>
    <cellStyle name="Normal 6 4 3 87" xfId="13060"/>
    <cellStyle name="Normal 6 4 3 88" xfId="11830"/>
    <cellStyle name="Normal 6 4 3 89" xfId="13306"/>
    <cellStyle name="Normal 6 4 3 9" xfId="4620"/>
    <cellStyle name="Normal 6 4 3 9 2" xfId="6112"/>
    <cellStyle name="Normal 6 4 3 9 3" xfId="18216"/>
    <cellStyle name="Normal 6 4 3 9 4" xfId="23259"/>
    <cellStyle name="Normal 6 4 3 9 5" xfId="28220"/>
    <cellStyle name="Normal 6 4 3 9 6" xfId="33078"/>
    <cellStyle name="Normal 6 4 3 9 7" xfId="37809"/>
    <cellStyle name="Normal 6 4 3 90" xfId="11776"/>
    <cellStyle name="Normal 6 4 3 91" xfId="13958"/>
    <cellStyle name="Normal 6 4 3 92" xfId="17685"/>
    <cellStyle name="Normal 6 4 30" xfId="5759"/>
    <cellStyle name="Normal 6 4 30 2" xfId="14456"/>
    <cellStyle name="Normal 6 4 30 3" xfId="19499"/>
    <cellStyle name="Normal 6 4 30 4" xfId="24542"/>
    <cellStyle name="Normal 6 4 30 5" xfId="29503"/>
    <cellStyle name="Normal 6 4 30 6" xfId="34361"/>
    <cellStyle name="Normal 6 4 30 7" xfId="39092"/>
    <cellStyle name="Normal 6 4 31" xfId="6990"/>
    <cellStyle name="Normal 6 4 31 2" xfId="14286"/>
    <cellStyle name="Normal 6 4 31 3" xfId="19125"/>
    <cellStyle name="Normal 6 4 31 4" xfId="24168"/>
    <cellStyle name="Normal 6 4 31 5" xfId="29129"/>
    <cellStyle name="Normal 6 4 31 6" xfId="33987"/>
    <cellStyle name="Normal 6 4 31 7" xfId="38718"/>
    <cellStyle name="Normal 6 4 32" xfId="7362"/>
    <cellStyle name="Normal 6 4 32 2" xfId="14476"/>
    <cellStyle name="Normal 6 4 32 3" xfId="19535"/>
    <cellStyle name="Normal 6 4 32 4" xfId="24578"/>
    <cellStyle name="Normal 6 4 32 5" xfId="29539"/>
    <cellStyle name="Normal 6 4 32 6" xfId="34397"/>
    <cellStyle name="Normal 6 4 32 7" xfId="39128"/>
    <cellStyle name="Normal 6 4 33" xfId="7378"/>
    <cellStyle name="Normal 6 4 33 2" xfId="14481"/>
    <cellStyle name="Normal 6 4 33 3" xfId="19551"/>
    <cellStyle name="Normal 6 4 33 4" xfId="24594"/>
    <cellStyle name="Normal 6 4 33 5" xfId="29555"/>
    <cellStyle name="Normal 6 4 33 6" xfId="34413"/>
    <cellStyle name="Normal 6 4 33 7" xfId="39144"/>
    <cellStyle name="Normal 6 4 34" xfId="7390"/>
    <cellStyle name="Normal 6 4 34 2" xfId="14483"/>
    <cellStyle name="Normal 6 4 34 3" xfId="19563"/>
    <cellStyle name="Normal 6 4 34 4" xfId="24606"/>
    <cellStyle name="Normal 6 4 34 5" xfId="29567"/>
    <cellStyle name="Normal 6 4 34 6" xfId="34425"/>
    <cellStyle name="Normal 6 4 34 7" xfId="39156"/>
    <cellStyle name="Normal 6 4 35" xfId="7401"/>
    <cellStyle name="Normal 6 4 35 2" xfId="14484"/>
    <cellStyle name="Normal 6 4 35 3" xfId="19574"/>
    <cellStyle name="Normal 6 4 35 4" xfId="24617"/>
    <cellStyle name="Normal 6 4 35 5" xfId="29578"/>
    <cellStyle name="Normal 6 4 35 6" xfId="34436"/>
    <cellStyle name="Normal 6 4 35 7" xfId="39167"/>
    <cellStyle name="Normal 6 4 36" xfId="7651"/>
    <cellStyle name="Normal 6 4 36 2" xfId="14731"/>
    <cellStyle name="Normal 6 4 36 3" xfId="19848"/>
    <cellStyle name="Normal 6 4 36 4" xfId="24891"/>
    <cellStyle name="Normal 6 4 36 5" xfId="29852"/>
    <cellStyle name="Normal 6 4 36 6" xfId="34710"/>
    <cellStyle name="Normal 6 4 36 7" xfId="39441"/>
    <cellStyle name="Normal 6 4 37" xfId="7737"/>
    <cellStyle name="Normal 6 4 37 2" xfId="14817"/>
    <cellStyle name="Normal 6 4 37 3" xfId="19934"/>
    <cellStyle name="Normal 6 4 37 4" xfId="24977"/>
    <cellStyle name="Normal 6 4 37 5" xfId="29938"/>
    <cellStyle name="Normal 6 4 37 6" xfId="34796"/>
    <cellStyle name="Normal 6 4 37 7" xfId="39527"/>
    <cellStyle name="Normal 6 4 38" xfId="7880"/>
    <cellStyle name="Normal 6 4 38 2" xfId="14960"/>
    <cellStyle name="Normal 6 4 38 3" xfId="20077"/>
    <cellStyle name="Normal 6 4 38 4" xfId="25120"/>
    <cellStyle name="Normal 6 4 38 5" xfId="30081"/>
    <cellStyle name="Normal 6 4 38 6" xfId="34939"/>
    <cellStyle name="Normal 6 4 38 7" xfId="39670"/>
    <cellStyle name="Normal 6 4 39" xfId="7590"/>
    <cellStyle name="Normal 6 4 39 2" xfId="14670"/>
    <cellStyle name="Normal 6 4 39 3" xfId="19787"/>
    <cellStyle name="Normal 6 4 39 4" xfId="24830"/>
    <cellStyle name="Normal 6 4 39 5" xfId="29791"/>
    <cellStyle name="Normal 6 4 39 6" xfId="34649"/>
    <cellStyle name="Normal 6 4 39 7" xfId="39380"/>
    <cellStyle name="Normal 6 4 4" xfId="4249"/>
    <cellStyle name="Normal 6 4 4 2" xfId="6003"/>
    <cellStyle name="Normal 6 4 4 3" xfId="18106"/>
    <cellStyle name="Normal 6 4 4 4" xfId="23149"/>
    <cellStyle name="Normal 6 4 4 5" xfId="28110"/>
    <cellStyle name="Normal 6 4 4 6" xfId="32968"/>
    <cellStyle name="Normal 6 4 4 7" xfId="37699"/>
    <cellStyle name="Normal 6 4 40" xfId="7630"/>
    <cellStyle name="Normal 6 4 40 2" xfId="14710"/>
    <cellStyle name="Normal 6 4 40 3" xfId="19827"/>
    <cellStyle name="Normal 6 4 40 4" xfId="24870"/>
    <cellStyle name="Normal 6 4 40 5" xfId="29831"/>
    <cellStyle name="Normal 6 4 40 6" xfId="34689"/>
    <cellStyle name="Normal 6 4 40 7" xfId="39420"/>
    <cellStyle name="Normal 6 4 41" xfId="7888"/>
    <cellStyle name="Normal 6 4 41 2" xfId="14968"/>
    <cellStyle name="Normal 6 4 41 3" xfId="20085"/>
    <cellStyle name="Normal 6 4 41 4" xfId="25128"/>
    <cellStyle name="Normal 6 4 41 5" xfId="30089"/>
    <cellStyle name="Normal 6 4 41 6" xfId="34947"/>
    <cellStyle name="Normal 6 4 41 7" xfId="39678"/>
    <cellStyle name="Normal 6 4 42" xfId="8039"/>
    <cellStyle name="Normal 6 4 42 2" xfId="15119"/>
    <cellStyle name="Normal 6 4 42 3" xfId="20236"/>
    <cellStyle name="Normal 6 4 42 4" xfId="25279"/>
    <cellStyle name="Normal 6 4 42 5" xfId="30240"/>
    <cellStyle name="Normal 6 4 42 6" xfId="35098"/>
    <cellStyle name="Normal 6 4 42 7" xfId="39829"/>
    <cellStyle name="Normal 6 4 43" xfId="7610"/>
    <cellStyle name="Normal 6 4 43 2" xfId="14690"/>
    <cellStyle name="Normal 6 4 43 3" xfId="19807"/>
    <cellStyle name="Normal 6 4 43 4" xfId="24850"/>
    <cellStyle name="Normal 6 4 43 5" xfId="29811"/>
    <cellStyle name="Normal 6 4 43 6" xfId="34669"/>
    <cellStyle name="Normal 6 4 43 7" xfId="39400"/>
    <cellStyle name="Normal 6 4 44" xfId="8084"/>
    <cellStyle name="Normal 6 4 44 2" xfId="15164"/>
    <cellStyle name="Normal 6 4 44 3" xfId="20281"/>
    <cellStyle name="Normal 6 4 44 4" xfId="25324"/>
    <cellStyle name="Normal 6 4 44 5" xfId="30285"/>
    <cellStyle name="Normal 6 4 44 6" xfId="35143"/>
    <cellStyle name="Normal 6 4 44 7" xfId="39874"/>
    <cellStyle name="Normal 6 4 45" xfId="8101"/>
    <cellStyle name="Normal 6 4 45 2" xfId="15181"/>
    <cellStyle name="Normal 6 4 45 3" xfId="20298"/>
    <cellStyle name="Normal 6 4 45 4" xfId="25341"/>
    <cellStyle name="Normal 6 4 45 5" xfId="30302"/>
    <cellStyle name="Normal 6 4 45 6" xfId="35160"/>
    <cellStyle name="Normal 6 4 45 7" xfId="39891"/>
    <cellStyle name="Normal 6 4 46" xfId="8114"/>
    <cellStyle name="Normal 6 4 46 2" xfId="15194"/>
    <cellStyle name="Normal 6 4 46 3" xfId="20311"/>
    <cellStyle name="Normal 6 4 46 4" xfId="25354"/>
    <cellStyle name="Normal 6 4 46 5" xfId="30315"/>
    <cellStyle name="Normal 6 4 46 6" xfId="35173"/>
    <cellStyle name="Normal 6 4 46 7" xfId="39904"/>
    <cellStyle name="Normal 6 4 47" xfId="8127"/>
    <cellStyle name="Normal 6 4 47 2" xfId="15207"/>
    <cellStyle name="Normal 6 4 47 3" xfId="20324"/>
    <cellStyle name="Normal 6 4 47 4" xfId="25367"/>
    <cellStyle name="Normal 6 4 47 5" xfId="30328"/>
    <cellStyle name="Normal 6 4 47 6" xfId="35186"/>
    <cellStyle name="Normal 6 4 47 7" xfId="39917"/>
    <cellStyle name="Normal 6 4 48" xfId="8139"/>
    <cellStyle name="Normal 6 4 48 2" xfId="15219"/>
    <cellStyle name="Normal 6 4 48 3" xfId="20336"/>
    <cellStyle name="Normal 6 4 48 4" xfId="25379"/>
    <cellStyle name="Normal 6 4 48 5" xfId="30340"/>
    <cellStyle name="Normal 6 4 48 6" xfId="35198"/>
    <cellStyle name="Normal 6 4 48 7" xfId="39929"/>
    <cellStyle name="Normal 6 4 49" xfId="8150"/>
    <cellStyle name="Normal 6 4 49 2" xfId="15230"/>
    <cellStyle name="Normal 6 4 49 3" xfId="20347"/>
    <cellStyle name="Normal 6 4 49 4" xfId="25390"/>
    <cellStyle name="Normal 6 4 49 5" xfId="30351"/>
    <cellStyle name="Normal 6 4 49 6" xfId="35209"/>
    <cellStyle name="Normal 6 4 49 7" xfId="39940"/>
    <cellStyle name="Normal 6 4 5" xfId="4324"/>
    <cellStyle name="Normal 6 4 5 2" xfId="6097"/>
    <cellStyle name="Normal 6 4 5 3" xfId="18201"/>
    <cellStyle name="Normal 6 4 5 4" xfId="23244"/>
    <cellStyle name="Normal 6 4 5 5" xfId="28205"/>
    <cellStyle name="Normal 6 4 5 6" xfId="33063"/>
    <cellStyle name="Normal 6 4 5 7" xfId="37794"/>
    <cellStyle name="Normal 6 4 50" xfId="8426"/>
    <cellStyle name="Normal 6 4 50 2" xfId="15507"/>
    <cellStyle name="Normal 6 4 50 3" xfId="20624"/>
    <cellStyle name="Normal 6 4 50 4" xfId="25667"/>
    <cellStyle name="Normal 6 4 50 5" xfId="30628"/>
    <cellStyle name="Normal 6 4 50 6" xfId="35486"/>
    <cellStyle name="Normal 6 4 50 7" xfId="40217"/>
    <cellStyle name="Normal 6 4 51" xfId="8521"/>
    <cellStyle name="Normal 6 4 51 2" xfId="15602"/>
    <cellStyle name="Normal 6 4 51 3" xfId="20719"/>
    <cellStyle name="Normal 6 4 51 4" xfId="25762"/>
    <cellStyle name="Normal 6 4 51 5" xfId="30723"/>
    <cellStyle name="Normal 6 4 51 6" xfId="35581"/>
    <cellStyle name="Normal 6 4 51 7" xfId="40312"/>
    <cellStyle name="Normal 6 4 52" xfId="8679"/>
    <cellStyle name="Normal 6 4 52 2" xfId="15760"/>
    <cellStyle name="Normal 6 4 52 3" xfId="20877"/>
    <cellStyle name="Normal 6 4 52 4" xfId="25920"/>
    <cellStyle name="Normal 6 4 52 5" xfId="30881"/>
    <cellStyle name="Normal 6 4 52 6" xfId="35739"/>
    <cellStyle name="Normal 6 4 52 7" xfId="40470"/>
    <cellStyle name="Normal 6 4 53" xfId="8368"/>
    <cellStyle name="Normal 6 4 53 2" xfId="15449"/>
    <cellStyle name="Normal 6 4 53 3" xfId="20566"/>
    <cellStyle name="Normal 6 4 53 4" xfId="25609"/>
    <cellStyle name="Normal 6 4 53 5" xfId="30570"/>
    <cellStyle name="Normal 6 4 53 6" xfId="35428"/>
    <cellStyle name="Normal 6 4 53 7" xfId="40159"/>
    <cellStyle name="Normal 6 4 54" xfId="8403"/>
    <cellStyle name="Normal 6 4 54 2" xfId="15484"/>
    <cellStyle name="Normal 6 4 54 3" xfId="20601"/>
    <cellStyle name="Normal 6 4 54 4" xfId="25644"/>
    <cellStyle name="Normal 6 4 54 5" xfId="30605"/>
    <cellStyle name="Normal 6 4 54 6" xfId="35463"/>
    <cellStyle name="Normal 6 4 54 7" xfId="40194"/>
    <cellStyle name="Normal 6 4 55" xfId="8691"/>
    <cellStyle name="Normal 6 4 55 2" xfId="15772"/>
    <cellStyle name="Normal 6 4 55 3" xfId="20889"/>
    <cellStyle name="Normal 6 4 55 4" xfId="25932"/>
    <cellStyle name="Normal 6 4 55 5" xfId="30893"/>
    <cellStyle name="Normal 6 4 55 6" xfId="35751"/>
    <cellStyle name="Normal 6 4 55 7" xfId="40482"/>
    <cellStyle name="Normal 6 4 56" xfId="8836"/>
    <cellStyle name="Normal 6 4 56 2" xfId="15917"/>
    <cellStyle name="Normal 6 4 56 3" xfId="21034"/>
    <cellStyle name="Normal 6 4 56 4" xfId="26077"/>
    <cellStyle name="Normal 6 4 56 5" xfId="31038"/>
    <cellStyle name="Normal 6 4 56 6" xfId="35896"/>
    <cellStyle name="Normal 6 4 56 7" xfId="40627"/>
    <cellStyle name="Normal 6 4 57" xfId="8514"/>
    <cellStyle name="Normal 6 4 57 2" xfId="15595"/>
    <cellStyle name="Normal 6 4 57 3" xfId="20712"/>
    <cellStyle name="Normal 6 4 57 4" xfId="25755"/>
    <cellStyle name="Normal 6 4 57 5" xfId="30716"/>
    <cellStyle name="Normal 6 4 57 6" xfId="35574"/>
    <cellStyle name="Normal 6 4 57 7" xfId="40305"/>
    <cellStyle name="Normal 6 4 58" xfId="8468"/>
    <cellStyle name="Normal 6 4 58 2" xfId="15549"/>
    <cellStyle name="Normal 6 4 58 3" xfId="20666"/>
    <cellStyle name="Normal 6 4 58 4" xfId="25709"/>
    <cellStyle name="Normal 6 4 58 5" xfId="30670"/>
    <cellStyle name="Normal 6 4 58 6" xfId="35528"/>
    <cellStyle name="Normal 6 4 58 7" xfId="40259"/>
    <cellStyle name="Normal 6 4 59" xfId="8939"/>
    <cellStyle name="Normal 6 4 59 2" xfId="16020"/>
    <cellStyle name="Normal 6 4 59 3" xfId="21137"/>
    <cellStyle name="Normal 6 4 59 4" xfId="26180"/>
    <cellStyle name="Normal 6 4 59 5" xfId="31141"/>
    <cellStyle name="Normal 6 4 59 6" xfId="35999"/>
    <cellStyle name="Normal 6 4 59 7" xfId="40730"/>
    <cellStyle name="Normal 6 4 6" xfId="4316"/>
    <cellStyle name="Normal 6 4 6 2" xfId="6258"/>
    <cellStyle name="Normal 6 4 6 3" xfId="18362"/>
    <cellStyle name="Normal 6 4 6 4" xfId="23405"/>
    <cellStyle name="Normal 6 4 6 5" xfId="28366"/>
    <cellStyle name="Normal 6 4 6 6" xfId="33224"/>
    <cellStyle name="Normal 6 4 6 7" xfId="37955"/>
    <cellStyle name="Normal 6 4 60" xfId="8581"/>
    <cellStyle name="Normal 6 4 60 2" xfId="15662"/>
    <cellStyle name="Normal 6 4 60 3" xfId="20779"/>
    <cellStyle name="Normal 6 4 60 4" xfId="25822"/>
    <cellStyle name="Normal 6 4 60 5" xfId="30783"/>
    <cellStyle name="Normal 6 4 60 6" xfId="35641"/>
    <cellStyle name="Normal 6 4 60 7" xfId="40372"/>
    <cellStyle name="Normal 6 4 61" xfId="8665"/>
    <cellStyle name="Normal 6 4 61 2" xfId="15746"/>
    <cellStyle name="Normal 6 4 61 3" xfId="20863"/>
    <cellStyle name="Normal 6 4 61 4" xfId="25906"/>
    <cellStyle name="Normal 6 4 61 5" xfId="30867"/>
    <cellStyle name="Normal 6 4 61 6" xfId="35725"/>
    <cellStyle name="Normal 6 4 61 7" xfId="40456"/>
    <cellStyle name="Normal 6 4 62" xfId="8865"/>
    <cellStyle name="Normal 6 4 62 2" xfId="15946"/>
    <cellStyle name="Normal 6 4 62 3" xfId="21063"/>
    <cellStyle name="Normal 6 4 62 4" xfId="26106"/>
    <cellStyle name="Normal 6 4 62 5" xfId="31067"/>
    <cellStyle name="Normal 6 4 62 6" xfId="35925"/>
    <cellStyle name="Normal 6 4 62 7" xfId="40656"/>
    <cellStyle name="Normal 6 4 63" xfId="8983"/>
    <cellStyle name="Normal 6 4 63 2" xfId="16064"/>
    <cellStyle name="Normal 6 4 63 3" xfId="21181"/>
    <cellStyle name="Normal 6 4 63 4" xfId="26224"/>
    <cellStyle name="Normal 6 4 63 5" xfId="31185"/>
    <cellStyle name="Normal 6 4 63 6" xfId="36043"/>
    <cellStyle name="Normal 6 4 63 7" xfId="40774"/>
    <cellStyle name="Normal 6 4 64" xfId="8335"/>
    <cellStyle name="Normal 6 4 64 2" xfId="15416"/>
    <cellStyle name="Normal 6 4 64 3" xfId="20533"/>
    <cellStyle name="Normal 6 4 64 4" xfId="25576"/>
    <cellStyle name="Normal 6 4 64 5" xfId="30537"/>
    <cellStyle name="Normal 6 4 64 6" xfId="35395"/>
    <cellStyle name="Normal 6 4 64 7" xfId="40126"/>
    <cellStyle name="Normal 6 4 65" xfId="9223"/>
    <cellStyle name="Normal 6 4 65 2" xfId="16304"/>
    <cellStyle name="Normal 6 4 65 3" xfId="21421"/>
    <cellStyle name="Normal 6 4 65 4" xfId="26464"/>
    <cellStyle name="Normal 6 4 65 5" xfId="31425"/>
    <cellStyle name="Normal 6 4 65 6" xfId="36283"/>
    <cellStyle name="Normal 6 4 65 7" xfId="41014"/>
    <cellStyle name="Normal 6 4 66" xfId="9300"/>
    <cellStyle name="Normal 6 4 66 2" xfId="16381"/>
    <cellStyle name="Normal 6 4 66 3" xfId="21498"/>
    <cellStyle name="Normal 6 4 66 4" xfId="26541"/>
    <cellStyle name="Normal 6 4 66 5" xfId="31502"/>
    <cellStyle name="Normal 6 4 66 6" xfId="36360"/>
    <cellStyle name="Normal 6 4 66 7" xfId="41091"/>
    <cellStyle name="Normal 6 4 67" xfId="9429"/>
    <cellStyle name="Normal 6 4 67 2" xfId="16510"/>
    <cellStyle name="Normal 6 4 67 3" xfId="21627"/>
    <cellStyle name="Normal 6 4 67 4" xfId="26670"/>
    <cellStyle name="Normal 6 4 67 5" xfId="31631"/>
    <cellStyle name="Normal 6 4 67 6" xfId="36489"/>
    <cellStyle name="Normal 6 4 67 7" xfId="41220"/>
    <cellStyle name="Normal 6 4 68" xfId="9170"/>
    <cellStyle name="Normal 6 4 68 2" xfId="16251"/>
    <cellStyle name="Normal 6 4 68 3" xfId="21368"/>
    <cellStyle name="Normal 6 4 68 4" xfId="26411"/>
    <cellStyle name="Normal 6 4 68 5" xfId="31372"/>
    <cellStyle name="Normal 6 4 68 6" xfId="36230"/>
    <cellStyle name="Normal 6 4 68 7" xfId="40961"/>
    <cellStyle name="Normal 6 4 69" xfId="9204"/>
    <cellStyle name="Normal 6 4 69 2" xfId="16285"/>
    <cellStyle name="Normal 6 4 69 3" xfId="21402"/>
    <cellStyle name="Normal 6 4 69 4" xfId="26445"/>
    <cellStyle name="Normal 6 4 69 5" xfId="31406"/>
    <cellStyle name="Normal 6 4 69 6" xfId="36264"/>
    <cellStyle name="Normal 6 4 69 7" xfId="40995"/>
    <cellStyle name="Normal 6 4 7" xfId="4391"/>
    <cellStyle name="Normal 6 4 7 2" xfId="5934"/>
    <cellStyle name="Normal 6 4 7 3" xfId="18036"/>
    <cellStyle name="Normal 6 4 7 4" xfId="23079"/>
    <cellStyle name="Normal 6 4 7 5" xfId="28040"/>
    <cellStyle name="Normal 6 4 7 6" xfId="32898"/>
    <cellStyle name="Normal 6 4 7 7" xfId="37629"/>
    <cellStyle name="Normal 6 4 70" xfId="9437"/>
    <cellStyle name="Normal 6 4 70 2" xfId="16518"/>
    <cellStyle name="Normal 6 4 70 3" xfId="21635"/>
    <cellStyle name="Normal 6 4 70 4" xfId="26678"/>
    <cellStyle name="Normal 6 4 70 5" xfId="31639"/>
    <cellStyle name="Normal 6 4 70 6" xfId="36497"/>
    <cellStyle name="Normal 6 4 70 7" xfId="41228"/>
    <cellStyle name="Normal 6 4 71" xfId="9559"/>
    <cellStyle name="Normal 6 4 71 2" xfId="16640"/>
    <cellStyle name="Normal 6 4 71 3" xfId="21757"/>
    <cellStyle name="Normal 6 4 71 4" xfId="26800"/>
    <cellStyle name="Normal 6 4 71 5" xfId="31761"/>
    <cellStyle name="Normal 6 4 71 6" xfId="36619"/>
    <cellStyle name="Normal 6 4 71 7" xfId="41350"/>
    <cellStyle name="Normal 6 4 72" xfId="9185"/>
    <cellStyle name="Normal 6 4 72 2" xfId="16266"/>
    <cellStyle name="Normal 6 4 72 3" xfId="21383"/>
    <cellStyle name="Normal 6 4 72 4" xfId="26426"/>
    <cellStyle name="Normal 6 4 72 5" xfId="31387"/>
    <cellStyle name="Normal 6 4 72 6" xfId="36245"/>
    <cellStyle name="Normal 6 4 72 7" xfId="40976"/>
    <cellStyle name="Normal 6 4 73" xfId="9595"/>
    <cellStyle name="Normal 6 4 73 2" xfId="16676"/>
    <cellStyle name="Normal 6 4 73 3" xfId="21793"/>
    <cellStyle name="Normal 6 4 73 4" xfId="26836"/>
    <cellStyle name="Normal 6 4 73 5" xfId="31797"/>
    <cellStyle name="Normal 6 4 73 6" xfId="36655"/>
    <cellStyle name="Normal 6 4 73 7" xfId="41386"/>
    <cellStyle name="Normal 6 4 74" xfId="9611"/>
    <cellStyle name="Normal 6 4 74 2" xfId="16692"/>
    <cellStyle name="Normal 6 4 74 3" xfId="21809"/>
    <cellStyle name="Normal 6 4 74 4" xfId="26852"/>
    <cellStyle name="Normal 6 4 74 5" xfId="31813"/>
    <cellStyle name="Normal 6 4 74 6" xfId="36671"/>
    <cellStyle name="Normal 6 4 74 7" xfId="41402"/>
    <cellStyle name="Normal 6 4 75" xfId="9623"/>
    <cellStyle name="Normal 6 4 75 2" xfId="16704"/>
    <cellStyle name="Normal 6 4 75 3" xfId="21821"/>
    <cellStyle name="Normal 6 4 75 4" xfId="26864"/>
    <cellStyle name="Normal 6 4 75 5" xfId="31825"/>
    <cellStyle name="Normal 6 4 75 6" xfId="36683"/>
    <cellStyle name="Normal 6 4 75 7" xfId="41414"/>
    <cellStyle name="Normal 6 4 76" xfId="9634"/>
    <cellStyle name="Normal 6 4 76 2" xfId="16715"/>
    <cellStyle name="Normal 6 4 76 3" xfId="21832"/>
    <cellStyle name="Normal 6 4 76 4" xfId="26875"/>
    <cellStyle name="Normal 6 4 76 5" xfId="31836"/>
    <cellStyle name="Normal 6 4 76 6" xfId="36694"/>
    <cellStyle name="Normal 6 4 76 7" xfId="41425"/>
    <cellStyle name="Normal 6 4 77" xfId="9800"/>
    <cellStyle name="Normal 6 4 77 2" xfId="16881"/>
    <cellStyle name="Normal 6 4 77 3" xfId="21998"/>
    <cellStyle name="Normal 6 4 77 4" xfId="27041"/>
    <cellStyle name="Normal 6 4 77 5" xfId="32002"/>
    <cellStyle name="Normal 6 4 77 6" xfId="36860"/>
    <cellStyle name="Normal 6 4 77 7" xfId="41591"/>
    <cellStyle name="Normal 6 4 78" xfId="9840"/>
    <cellStyle name="Normal 6 4 78 2" xfId="16921"/>
    <cellStyle name="Normal 6 4 78 3" xfId="22038"/>
    <cellStyle name="Normal 6 4 78 4" xfId="27081"/>
    <cellStyle name="Normal 6 4 78 5" xfId="32042"/>
    <cellStyle name="Normal 6 4 78 6" xfId="36900"/>
    <cellStyle name="Normal 6 4 78 7" xfId="41631"/>
    <cellStyle name="Normal 6 4 79" xfId="9914"/>
    <cellStyle name="Normal 6 4 79 2" xfId="16995"/>
    <cellStyle name="Normal 6 4 79 3" xfId="22112"/>
    <cellStyle name="Normal 6 4 79 4" xfId="27155"/>
    <cellStyle name="Normal 6 4 79 5" xfId="32116"/>
    <cellStyle name="Normal 6 4 79 6" xfId="36974"/>
    <cellStyle name="Normal 6 4 79 7" xfId="41705"/>
    <cellStyle name="Normal 6 4 8" xfId="4447"/>
    <cellStyle name="Normal 6 4 8 2" xfId="5978"/>
    <cellStyle name="Normal 6 4 8 3" xfId="18081"/>
    <cellStyle name="Normal 6 4 8 4" xfId="23124"/>
    <cellStyle name="Normal 6 4 8 5" xfId="28085"/>
    <cellStyle name="Normal 6 4 8 6" xfId="32943"/>
    <cellStyle name="Normal 6 4 8 7" xfId="37674"/>
    <cellStyle name="Normal 6 4 80" xfId="9774"/>
    <cellStyle name="Normal 6 4 80 2" xfId="16855"/>
    <cellStyle name="Normal 6 4 80 3" xfId="21972"/>
    <cellStyle name="Normal 6 4 80 4" xfId="27015"/>
    <cellStyle name="Normal 6 4 80 5" xfId="31976"/>
    <cellStyle name="Normal 6 4 80 6" xfId="36834"/>
    <cellStyle name="Normal 6 4 80 7" xfId="41565"/>
    <cellStyle name="Normal 6 4 81" xfId="9788"/>
    <cellStyle name="Normal 6 4 81 2" xfId="16869"/>
    <cellStyle name="Normal 6 4 81 3" xfId="21986"/>
    <cellStyle name="Normal 6 4 81 4" xfId="27029"/>
    <cellStyle name="Normal 6 4 81 5" xfId="31990"/>
    <cellStyle name="Normal 6 4 81 6" xfId="36848"/>
    <cellStyle name="Normal 6 4 81 7" xfId="41579"/>
    <cellStyle name="Normal 6 4 82" xfId="9919"/>
    <cellStyle name="Normal 6 4 82 2" xfId="17000"/>
    <cellStyle name="Normal 6 4 82 3" xfId="22117"/>
    <cellStyle name="Normal 6 4 82 4" xfId="27160"/>
    <cellStyle name="Normal 6 4 82 5" xfId="32121"/>
    <cellStyle name="Normal 6 4 82 6" xfId="36979"/>
    <cellStyle name="Normal 6 4 82 7" xfId="41710"/>
    <cellStyle name="Normal 6 4 83" xfId="10130"/>
    <cellStyle name="Normal 6 4 83 2" xfId="17211"/>
    <cellStyle name="Normal 6 4 83 3" xfId="22328"/>
    <cellStyle name="Normal 6 4 83 4" xfId="27371"/>
    <cellStyle name="Normal 6 4 83 5" xfId="32332"/>
    <cellStyle name="Normal 6 4 83 6" xfId="37190"/>
    <cellStyle name="Normal 6 4 83 7" xfId="41921"/>
    <cellStyle name="Normal 6 4 84" xfId="10170"/>
    <cellStyle name="Normal 6 4 84 2" xfId="17251"/>
    <cellStyle name="Normal 6 4 84 3" xfId="22368"/>
    <cellStyle name="Normal 6 4 84 4" xfId="27411"/>
    <cellStyle name="Normal 6 4 84 5" xfId="32372"/>
    <cellStyle name="Normal 6 4 84 6" xfId="37230"/>
    <cellStyle name="Normal 6 4 84 7" xfId="41961"/>
    <cellStyle name="Normal 6 4 85" xfId="10244"/>
    <cellStyle name="Normal 6 4 85 2" xfId="17325"/>
    <cellStyle name="Normal 6 4 85 3" xfId="22442"/>
    <cellStyle name="Normal 6 4 85 4" xfId="27485"/>
    <cellStyle name="Normal 6 4 85 5" xfId="32446"/>
    <cellStyle name="Normal 6 4 85 6" xfId="37304"/>
    <cellStyle name="Normal 6 4 85 7" xfId="42035"/>
    <cellStyle name="Normal 6 4 86" xfId="10104"/>
    <cellStyle name="Normal 6 4 86 2" xfId="17185"/>
    <cellStyle name="Normal 6 4 86 3" xfId="22302"/>
    <cellStyle name="Normal 6 4 86 4" xfId="27345"/>
    <cellStyle name="Normal 6 4 86 5" xfId="32306"/>
    <cellStyle name="Normal 6 4 86 6" xfId="37164"/>
    <cellStyle name="Normal 6 4 86 7" xfId="41895"/>
    <cellStyle name="Normal 6 4 87" xfId="10118"/>
    <cellStyle name="Normal 6 4 87 2" xfId="17199"/>
    <cellStyle name="Normal 6 4 87 3" xfId="22316"/>
    <cellStyle name="Normal 6 4 87 4" xfId="27359"/>
    <cellStyle name="Normal 6 4 87 5" xfId="32320"/>
    <cellStyle name="Normal 6 4 87 6" xfId="37178"/>
    <cellStyle name="Normal 6 4 87 7" xfId="41909"/>
    <cellStyle name="Normal 6 4 88" xfId="10249"/>
    <cellStyle name="Normal 6 4 88 2" xfId="17330"/>
    <cellStyle name="Normal 6 4 88 3" xfId="22447"/>
    <cellStyle name="Normal 6 4 88 4" xfId="27490"/>
    <cellStyle name="Normal 6 4 88 5" xfId="32451"/>
    <cellStyle name="Normal 6 4 88 6" xfId="37309"/>
    <cellStyle name="Normal 6 4 88 7" xfId="42040"/>
    <cellStyle name="Normal 6 4 89" xfId="12234"/>
    <cellStyle name="Normal 6 4 9" xfId="4531"/>
    <cellStyle name="Normal 6 4 9 2" xfId="6267"/>
    <cellStyle name="Normal 6 4 9 3" xfId="18371"/>
    <cellStyle name="Normal 6 4 9 4" xfId="23414"/>
    <cellStyle name="Normal 6 4 9 5" xfId="28375"/>
    <cellStyle name="Normal 6 4 9 6" xfId="33233"/>
    <cellStyle name="Normal 6 4 9 7" xfId="37964"/>
    <cellStyle name="Normal 6 4 90" xfId="11734"/>
    <cellStyle name="Normal 6 4 91" xfId="12643"/>
    <cellStyle name="Normal 6 4 92" xfId="12157"/>
    <cellStyle name="Normal 6 4 93" xfId="12641"/>
    <cellStyle name="Normal 6 4 94" xfId="12194"/>
    <cellStyle name="Normal 6 5" xfId="1313"/>
    <cellStyle name="Normal 6 5 10" xfId="4633"/>
    <cellStyle name="Normal 6 5 10 2" xfId="6326"/>
    <cellStyle name="Normal 6 5 10 3" xfId="18434"/>
    <cellStyle name="Normal 6 5 10 4" xfId="23477"/>
    <cellStyle name="Normal 6 5 10 5" xfId="28438"/>
    <cellStyle name="Normal 6 5 10 6" xfId="33296"/>
    <cellStyle name="Normal 6 5 10 7" xfId="38027"/>
    <cellStyle name="Normal 6 5 11" xfId="4634"/>
    <cellStyle name="Normal 6 5 11 2" xfId="6342"/>
    <cellStyle name="Normal 6 5 11 3" xfId="18450"/>
    <cellStyle name="Normal 6 5 11 4" xfId="23493"/>
    <cellStyle name="Normal 6 5 11 5" xfId="28454"/>
    <cellStyle name="Normal 6 5 11 6" xfId="33312"/>
    <cellStyle name="Normal 6 5 11 7" xfId="38043"/>
    <cellStyle name="Normal 6 5 12" xfId="4675"/>
    <cellStyle name="Normal 6 5 12 2" xfId="6425"/>
    <cellStyle name="Normal 6 5 12 3" xfId="18535"/>
    <cellStyle name="Normal 6 5 12 4" xfId="23578"/>
    <cellStyle name="Normal 6 5 12 5" xfId="28539"/>
    <cellStyle name="Normal 6 5 12 6" xfId="33397"/>
    <cellStyle name="Normal 6 5 12 7" xfId="38128"/>
    <cellStyle name="Normal 6 5 13" xfId="4795"/>
    <cellStyle name="Normal 6 5 13 2" xfId="6105"/>
    <cellStyle name="Normal 6 5 13 3" xfId="18209"/>
    <cellStyle name="Normal 6 5 13 4" xfId="23252"/>
    <cellStyle name="Normal 6 5 13 5" xfId="28213"/>
    <cellStyle name="Normal 6 5 13 6" xfId="33071"/>
    <cellStyle name="Normal 6 5 13 7" xfId="37802"/>
    <cellStyle name="Normal 6 5 14" xfId="4926"/>
    <cellStyle name="Normal 6 5 14 2" xfId="5925"/>
    <cellStyle name="Normal 6 5 14 3" xfId="18027"/>
    <cellStyle name="Normal 6 5 14 4" xfId="23070"/>
    <cellStyle name="Normal 6 5 14 5" xfId="28031"/>
    <cellStyle name="Normal 6 5 14 6" xfId="32889"/>
    <cellStyle name="Normal 6 5 14 7" xfId="37620"/>
    <cellStyle name="Normal 6 5 15" xfId="4837"/>
    <cellStyle name="Normal 6 5 15 2" xfId="6266"/>
    <cellStyle name="Normal 6 5 15 3" xfId="18370"/>
    <cellStyle name="Normal 6 5 15 4" xfId="23413"/>
    <cellStyle name="Normal 6 5 15 5" xfId="28374"/>
    <cellStyle name="Normal 6 5 15 6" xfId="33232"/>
    <cellStyle name="Normal 6 5 15 7" xfId="37963"/>
    <cellStyle name="Normal 6 5 16" xfId="4924"/>
    <cellStyle name="Normal 6 5 16 2" xfId="6047"/>
    <cellStyle name="Normal 6 5 16 3" xfId="18151"/>
    <cellStyle name="Normal 6 5 16 4" xfId="23194"/>
    <cellStyle name="Normal 6 5 16 5" xfId="28155"/>
    <cellStyle name="Normal 6 5 16 6" xfId="33013"/>
    <cellStyle name="Normal 6 5 16 7" xfId="37744"/>
    <cellStyle name="Normal 6 5 17" xfId="5012"/>
    <cellStyle name="Normal 6 5 17 2" xfId="5982"/>
    <cellStyle name="Normal 6 5 17 3" xfId="18085"/>
    <cellStyle name="Normal 6 5 17 4" xfId="23128"/>
    <cellStyle name="Normal 6 5 17 5" xfId="28089"/>
    <cellStyle name="Normal 6 5 17 6" xfId="32947"/>
    <cellStyle name="Normal 6 5 17 7" xfId="37678"/>
    <cellStyle name="Normal 6 5 18" xfId="5144"/>
    <cellStyle name="Normal 6 5 18 2" xfId="5905"/>
    <cellStyle name="Normal 6 5 18 3" xfId="18007"/>
    <cellStyle name="Normal 6 5 18 4" xfId="23050"/>
    <cellStyle name="Normal 6 5 18 5" xfId="28011"/>
    <cellStyle name="Normal 6 5 18 6" xfId="32869"/>
    <cellStyle name="Normal 6 5 18 7" xfId="37600"/>
    <cellStyle name="Normal 6 5 19" xfId="4966"/>
    <cellStyle name="Normal 6 5 19 2" xfId="5842"/>
    <cellStyle name="Normal 6 5 19 3" xfId="17942"/>
    <cellStyle name="Normal 6 5 19 4" xfId="22985"/>
    <cellStyle name="Normal 6 5 19 5" xfId="27946"/>
    <cellStyle name="Normal 6 5 19 6" xfId="32804"/>
    <cellStyle name="Normal 6 5 19 7" xfId="37535"/>
    <cellStyle name="Normal 6 5 2" xfId="2489"/>
    <cellStyle name="Normal 6 5 2 10" xfId="4697"/>
    <cellStyle name="Normal 6 5 2 10 2" xfId="6468"/>
    <cellStyle name="Normal 6 5 2 10 3" xfId="18578"/>
    <cellStyle name="Normal 6 5 2 10 4" xfId="23621"/>
    <cellStyle name="Normal 6 5 2 10 5" xfId="28582"/>
    <cellStyle name="Normal 6 5 2 10 6" xfId="33440"/>
    <cellStyle name="Normal 6 5 2 10 7" xfId="38171"/>
    <cellStyle name="Normal 6 5 2 11" xfId="4853"/>
    <cellStyle name="Normal 6 5 2 11 2" xfId="5937"/>
    <cellStyle name="Normal 6 5 2 11 3" xfId="18039"/>
    <cellStyle name="Normal 6 5 2 11 4" xfId="23082"/>
    <cellStyle name="Normal 6 5 2 11 5" xfId="28043"/>
    <cellStyle name="Normal 6 5 2 11 6" xfId="32901"/>
    <cellStyle name="Normal 6 5 2 11 7" xfId="37632"/>
    <cellStyle name="Normal 6 5 2 12" xfId="4784"/>
    <cellStyle name="Normal 6 5 2 12 2" xfId="5814"/>
    <cellStyle name="Normal 6 5 2 12 3" xfId="17912"/>
    <cellStyle name="Normal 6 5 2 12 4" xfId="22955"/>
    <cellStyle name="Normal 6 5 2 12 5" xfId="27916"/>
    <cellStyle name="Normal 6 5 2 12 6" xfId="32774"/>
    <cellStyle name="Normal 6 5 2 12 7" xfId="37505"/>
    <cellStyle name="Normal 6 5 2 13" xfId="4839"/>
    <cellStyle name="Normal 6 5 2 13 2" xfId="6457"/>
    <cellStyle name="Normal 6 5 2 13 3" xfId="18567"/>
    <cellStyle name="Normal 6 5 2 13 4" xfId="23610"/>
    <cellStyle name="Normal 6 5 2 13 5" xfId="28571"/>
    <cellStyle name="Normal 6 5 2 13 6" xfId="33429"/>
    <cellStyle name="Normal 6 5 2 13 7" xfId="38160"/>
    <cellStyle name="Normal 6 5 2 14" xfId="4886"/>
    <cellStyle name="Normal 6 5 2 14 2" xfId="6358"/>
    <cellStyle name="Normal 6 5 2 14 3" xfId="18467"/>
    <cellStyle name="Normal 6 5 2 14 4" xfId="23510"/>
    <cellStyle name="Normal 6 5 2 14 5" xfId="28471"/>
    <cellStyle name="Normal 6 5 2 14 6" xfId="33329"/>
    <cellStyle name="Normal 6 5 2 14 7" xfId="38060"/>
    <cellStyle name="Normal 6 5 2 15" xfId="5078"/>
    <cellStyle name="Normal 6 5 2 15 2" xfId="6381"/>
    <cellStyle name="Normal 6 5 2 15 3" xfId="18491"/>
    <cellStyle name="Normal 6 5 2 15 4" xfId="23534"/>
    <cellStyle name="Normal 6 5 2 15 5" xfId="28495"/>
    <cellStyle name="Normal 6 5 2 15 6" xfId="33353"/>
    <cellStyle name="Normal 6 5 2 15 7" xfId="38084"/>
    <cellStyle name="Normal 6 5 2 16" xfId="5001"/>
    <cellStyle name="Normal 6 5 2 16 2" xfId="6139"/>
    <cellStyle name="Normal 6 5 2 16 3" xfId="18243"/>
    <cellStyle name="Normal 6 5 2 16 4" xfId="23286"/>
    <cellStyle name="Normal 6 5 2 16 5" xfId="28247"/>
    <cellStyle name="Normal 6 5 2 16 6" xfId="33105"/>
    <cellStyle name="Normal 6 5 2 16 7" xfId="37836"/>
    <cellStyle name="Normal 6 5 2 17" xfId="5118"/>
    <cellStyle name="Normal 6 5 2 17 2" xfId="6344"/>
    <cellStyle name="Normal 6 5 2 17 3" xfId="18452"/>
    <cellStyle name="Normal 6 5 2 17 4" xfId="23495"/>
    <cellStyle name="Normal 6 5 2 17 5" xfId="28456"/>
    <cellStyle name="Normal 6 5 2 17 6" xfId="33314"/>
    <cellStyle name="Normal 6 5 2 17 7" xfId="38045"/>
    <cellStyle name="Normal 6 5 2 18" xfId="5120"/>
    <cellStyle name="Normal 6 5 2 18 2" xfId="6773"/>
    <cellStyle name="Normal 6 5 2 18 3" xfId="18894"/>
    <cellStyle name="Normal 6 5 2 18 4" xfId="23937"/>
    <cellStyle name="Normal 6 5 2 18 5" xfId="28898"/>
    <cellStyle name="Normal 6 5 2 18 6" xfId="33756"/>
    <cellStyle name="Normal 6 5 2 18 7" xfId="38487"/>
    <cellStyle name="Normal 6 5 2 19" xfId="5432"/>
    <cellStyle name="Normal 6 5 2 19 2" xfId="6701"/>
    <cellStyle name="Normal 6 5 2 19 3" xfId="18822"/>
    <cellStyle name="Normal 6 5 2 19 4" xfId="23865"/>
    <cellStyle name="Normal 6 5 2 19 5" xfId="28826"/>
    <cellStyle name="Normal 6 5 2 19 6" xfId="33684"/>
    <cellStyle name="Normal 6 5 2 19 7" xfId="38415"/>
    <cellStyle name="Normal 6 5 2 2" xfId="4297"/>
    <cellStyle name="Normal 6 5 2 2 2" xfId="6210"/>
    <cellStyle name="Normal 6 5 2 2 3" xfId="18314"/>
    <cellStyle name="Normal 6 5 2 2 4" xfId="23357"/>
    <cellStyle name="Normal 6 5 2 2 5" xfId="28318"/>
    <cellStyle name="Normal 6 5 2 2 6" xfId="33176"/>
    <cellStyle name="Normal 6 5 2 2 7" xfId="37907"/>
    <cellStyle name="Normal 6 5 2 20" xfId="5301"/>
    <cellStyle name="Normal 6 5 2 20 2" xfId="6757"/>
    <cellStyle name="Normal 6 5 2 20 3" xfId="18878"/>
    <cellStyle name="Normal 6 5 2 20 4" xfId="23921"/>
    <cellStyle name="Normal 6 5 2 20 5" xfId="28882"/>
    <cellStyle name="Normal 6 5 2 20 6" xfId="33740"/>
    <cellStyle name="Normal 6 5 2 20 7" xfId="38471"/>
    <cellStyle name="Normal 6 5 2 21" xfId="5408"/>
    <cellStyle name="Normal 6 5 2 21 2" xfId="6805"/>
    <cellStyle name="Normal 6 5 2 21 3" xfId="18926"/>
    <cellStyle name="Normal 6 5 2 21 4" xfId="23969"/>
    <cellStyle name="Normal 6 5 2 21 5" xfId="28930"/>
    <cellStyle name="Normal 6 5 2 21 6" xfId="33788"/>
    <cellStyle name="Normal 6 5 2 21 7" xfId="38519"/>
    <cellStyle name="Normal 6 5 2 22" xfId="5494"/>
    <cellStyle name="Normal 6 5 2 22 2" xfId="7176"/>
    <cellStyle name="Normal 6 5 2 22 3" xfId="19331"/>
    <cellStyle name="Normal 6 5 2 22 4" xfId="24374"/>
    <cellStyle name="Normal 6 5 2 22 5" xfId="29335"/>
    <cellStyle name="Normal 6 5 2 22 6" xfId="34193"/>
    <cellStyle name="Normal 6 5 2 22 7" xfId="38924"/>
    <cellStyle name="Normal 6 5 2 23" xfId="5565"/>
    <cellStyle name="Normal 6 5 2 23 2" xfId="7012"/>
    <cellStyle name="Normal 6 5 2 23 3" xfId="19151"/>
    <cellStyle name="Normal 6 5 2 23 4" xfId="24194"/>
    <cellStyle name="Normal 6 5 2 23 5" xfId="29155"/>
    <cellStyle name="Normal 6 5 2 23 6" xfId="34013"/>
    <cellStyle name="Normal 6 5 2 23 7" xfId="38744"/>
    <cellStyle name="Normal 6 5 2 24" xfId="5392"/>
    <cellStyle name="Normal 6 5 2 24 2" xfId="7155"/>
    <cellStyle name="Normal 6 5 2 24 3" xfId="19307"/>
    <cellStyle name="Normal 6 5 2 24 4" xfId="24350"/>
    <cellStyle name="Normal 6 5 2 24 5" xfId="29311"/>
    <cellStyle name="Normal 6 5 2 24 6" xfId="34169"/>
    <cellStyle name="Normal 6 5 2 24 7" xfId="38900"/>
    <cellStyle name="Normal 6 5 2 25" xfId="5207"/>
    <cellStyle name="Normal 6 5 2 25 2" xfId="7250"/>
    <cellStyle name="Normal 6 5 2 25 3" xfId="19412"/>
    <cellStyle name="Normal 6 5 2 25 4" xfId="24455"/>
    <cellStyle name="Normal 6 5 2 25 5" xfId="29416"/>
    <cellStyle name="Normal 6 5 2 25 6" xfId="34274"/>
    <cellStyle name="Normal 6 5 2 25 7" xfId="39005"/>
    <cellStyle name="Normal 6 5 2 26" xfId="5413"/>
    <cellStyle name="Normal 6 5 2 26 2" xfId="7323"/>
    <cellStyle name="Normal 6 5 2 26 3" xfId="19494"/>
    <cellStyle name="Normal 6 5 2 26 4" xfId="24537"/>
    <cellStyle name="Normal 6 5 2 26 5" xfId="29498"/>
    <cellStyle name="Normal 6 5 2 26 6" xfId="34356"/>
    <cellStyle name="Normal 6 5 2 26 7" xfId="39087"/>
    <cellStyle name="Normal 6 5 2 27" xfId="5583"/>
    <cellStyle name="Normal 6 5 2 27 2" xfId="7137"/>
    <cellStyle name="Normal 6 5 2 27 3" xfId="19287"/>
    <cellStyle name="Normal 6 5 2 27 4" xfId="24330"/>
    <cellStyle name="Normal 6 5 2 27 5" xfId="29291"/>
    <cellStyle name="Normal 6 5 2 27 6" xfId="34149"/>
    <cellStyle name="Normal 6 5 2 27 7" xfId="38880"/>
    <cellStyle name="Normal 6 5 2 28" xfId="5783"/>
    <cellStyle name="Normal 6 5 2 28 2" xfId="14236"/>
    <cellStyle name="Normal 6 5 2 28 3" xfId="19033"/>
    <cellStyle name="Normal 6 5 2 28 4" xfId="24076"/>
    <cellStyle name="Normal 6 5 2 28 5" xfId="29037"/>
    <cellStyle name="Normal 6 5 2 28 6" xfId="33895"/>
    <cellStyle name="Normal 6 5 2 28 7" xfId="38626"/>
    <cellStyle name="Normal 6 5 2 29" xfId="7158"/>
    <cellStyle name="Normal 6 5 2 29 2" xfId="14379"/>
    <cellStyle name="Normal 6 5 2 29 3" xfId="19313"/>
    <cellStyle name="Normal 6 5 2 29 4" xfId="24356"/>
    <cellStyle name="Normal 6 5 2 29 5" xfId="29317"/>
    <cellStyle name="Normal 6 5 2 29 6" xfId="34175"/>
    <cellStyle name="Normal 6 5 2 29 7" xfId="38906"/>
    <cellStyle name="Normal 6 5 2 3" xfId="4239"/>
    <cellStyle name="Normal 6 5 2 3 2" xfId="5990"/>
    <cellStyle name="Normal 6 5 2 3 3" xfId="18093"/>
    <cellStyle name="Normal 6 5 2 3 4" xfId="23136"/>
    <cellStyle name="Normal 6 5 2 3 5" xfId="28097"/>
    <cellStyle name="Normal 6 5 2 3 6" xfId="32955"/>
    <cellStyle name="Normal 6 5 2 3 7" xfId="37686"/>
    <cellStyle name="Normal 6 5 2 30" xfId="7348"/>
    <cellStyle name="Normal 6 5 2 30 2" xfId="14469"/>
    <cellStyle name="Normal 6 5 2 30 3" xfId="19521"/>
    <cellStyle name="Normal 6 5 2 30 4" xfId="24564"/>
    <cellStyle name="Normal 6 5 2 30 5" xfId="29525"/>
    <cellStyle name="Normal 6 5 2 30 6" xfId="34383"/>
    <cellStyle name="Normal 6 5 2 30 7" xfId="39114"/>
    <cellStyle name="Normal 6 5 2 31" xfId="6979"/>
    <cellStyle name="Normal 6 5 2 31 2" xfId="14277"/>
    <cellStyle name="Normal 6 5 2 31 3" xfId="19112"/>
    <cellStyle name="Normal 6 5 2 31 4" xfId="24155"/>
    <cellStyle name="Normal 6 5 2 31 5" xfId="29116"/>
    <cellStyle name="Normal 6 5 2 31 6" xfId="33974"/>
    <cellStyle name="Normal 6 5 2 31 7" xfId="38705"/>
    <cellStyle name="Normal 6 5 2 32" xfId="6890"/>
    <cellStyle name="Normal 6 5 2 32 2" xfId="14226"/>
    <cellStyle name="Normal 6 5 2 32 3" xfId="19013"/>
    <cellStyle name="Normal 6 5 2 32 4" xfId="24056"/>
    <cellStyle name="Normal 6 5 2 32 5" xfId="29017"/>
    <cellStyle name="Normal 6 5 2 32 6" xfId="33875"/>
    <cellStyle name="Normal 6 5 2 32 7" xfId="38606"/>
    <cellStyle name="Normal 6 5 2 33" xfId="7343"/>
    <cellStyle name="Normal 6 5 2 33 2" xfId="14465"/>
    <cellStyle name="Normal 6 5 2 33 3" xfId="19516"/>
    <cellStyle name="Normal 6 5 2 33 4" xfId="24559"/>
    <cellStyle name="Normal 6 5 2 33 5" xfId="29520"/>
    <cellStyle name="Normal 6 5 2 33 6" xfId="34378"/>
    <cellStyle name="Normal 6 5 2 33 7" xfId="39109"/>
    <cellStyle name="Normal 6 5 2 34" xfId="7837"/>
    <cellStyle name="Normal 6 5 2 34 2" xfId="14917"/>
    <cellStyle name="Normal 6 5 2 34 3" xfId="20034"/>
    <cellStyle name="Normal 6 5 2 34 4" xfId="25077"/>
    <cellStyle name="Normal 6 5 2 34 5" xfId="30038"/>
    <cellStyle name="Normal 6 5 2 34 6" xfId="34896"/>
    <cellStyle name="Normal 6 5 2 34 7" xfId="39627"/>
    <cellStyle name="Normal 6 5 2 35" xfId="7638"/>
    <cellStyle name="Normal 6 5 2 35 2" xfId="14718"/>
    <cellStyle name="Normal 6 5 2 35 3" xfId="19835"/>
    <cellStyle name="Normal 6 5 2 35 4" xfId="24878"/>
    <cellStyle name="Normal 6 5 2 35 5" xfId="29839"/>
    <cellStyle name="Normal 6 5 2 35 6" xfId="34697"/>
    <cellStyle name="Normal 6 5 2 35 7" xfId="39428"/>
    <cellStyle name="Normal 6 5 2 36" xfId="7813"/>
    <cellStyle name="Normal 6 5 2 36 2" xfId="14893"/>
    <cellStyle name="Normal 6 5 2 36 3" xfId="20010"/>
    <cellStyle name="Normal 6 5 2 36 4" xfId="25053"/>
    <cellStyle name="Normal 6 5 2 36 5" xfId="30014"/>
    <cellStyle name="Normal 6 5 2 36 6" xfId="34872"/>
    <cellStyle name="Normal 6 5 2 36 7" xfId="39603"/>
    <cellStyle name="Normal 6 5 2 37" xfId="7931"/>
    <cellStyle name="Normal 6 5 2 37 2" xfId="15011"/>
    <cellStyle name="Normal 6 5 2 37 3" xfId="20128"/>
    <cellStyle name="Normal 6 5 2 37 4" xfId="25171"/>
    <cellStyle name="Normal 6 5 2 37 5" xfId="30132"/>
    <cellStyle name="Normal 6 5 2 37 6" xfId="34990"/>
    <cellStyle name="Normal 6 5 2 37 7" xfId="39721"/>
    <cellStyle name="Normal 6 5 2 38" xfId="8033"/>
    <cellStyle name="Normal 6 5 2 38 2" xfId="15113"/>
    <cellStyle name="Normal 6 5 2 38 3" xfId="20230"/>
    <cellStyle name="Normal 6 5 2 38 4" xfId="25273"/>
    <cellStyle name="Normal 6 5 2 38 5" xfId="30234"/>
    <cellStyle name="Normal 6 5 2 38 6" xfId="35092"/>
    <cellStyle name="Normal 6 5 2 38 7" xfId="39823"/>
    <cellStyle name="Normal 6 5 2 39" xfId="7789"/>
    <cellStyle name="Normal 6 5 2 39 2" xfId="14869"/>
    <cellStyle name="Normal 6 5 2 39 3" xfId="19986"/>
    <cellStyle name="Normal 6 5 2 39 4" xfId="25029"/>
    <cellStyle name="Normal 6 5 2 39 5" xfId="29990"/>
    <cellStyle name="Normal 6 5 2 39 6" xfId="34848"/>
    <cellStyle name="Normal 6 5 2 39 7" xfId="39579"/>
    <cellStyle name="Normal 6 5 2 4" xfId="4313"/>
    <cellStyle name="Normal 6 5 2 4 2" xfId="6184"/>
    <cellStyle name="Normal 6 5 2 4 3" xfId="18288"/>
    <cellStyle name="Normal 6 5 2 4 4" xfId="23331"/>
    <cellStyle name="Normal 6 5 2 4 5" xfId="28292"/>
    <cellStyle name="Normal 6 5 2 4 6" xfId="33150"/>
    <cellStyle name="Normal 6 5 2 4 7" xfId="37881"/>
    <cellStyle name="Normal 6 5 2 40" xfId="7501"/>
    <cellStyle name="Normal 6 5 2 40 2" xfId="14577"/>
    <cellStyle name="Normal 6 5 2 40 3" xfId="19694"/>
    <cellStyle name="Normal 6 5 2 40 4" xfId="24737"/>
    <cellStyle name="Normal 6 5 2 40 5" xfId="29698"/>
    <cellStyle name="Normal 6 5 2 40 6" xfId="34556"/>
    <cellStyle name="Normal 6 5 2 40 7" xfId="39287"/>
    <cellStyle name="Normal 6 5 2 41" xfId="7819"/>
    <cellStyle name="Normal 6 5 2 41 2" xfId="14899"/>
    <cellStyle name="Normal 6 5 2 41 3" xfId="20016"/>
    <cellStyle name="Normal 6 5 2 41 4" xfId="25059"/>
    <cellStyle name="Normal 6 5 2 41 5" xfId="30020"/>
    <cellStyle name="Normal 6 5 2 41 6" xfId="34878"/>
    <cellStyle name="Normal 6 5 2 41 7" xfId="39609"/>
    <cellStyle name="Normal 6 5 2 42" xfId="8069"/>
    <cellStyle name="Normal 6 5 2 42 2" xfId="15149"/>
    <cellStyle name="Normal 6 5 2 42 3" xfId="20266"/>
    <cellStyle name="Normal 6 5 2 42 4" xfId="25309"/>
    <cellStyle name="Normal 6 5 2 42 5" xfId="30270"/>
    <cellStyle name="Normal 6 5 2 42 6" xfId="35128"/>
    <cellStyle name="Normal 6 5 2 42 7" xfId="39859"/>
    <cellStyle name="Normal 6 5 2 43" xfId="7592"/>
    <cellStyle name="Normal 6 5 2 43 2" xfId="14672"/>
    <cellStyle name="Normal 6 5 2 43 3" xfId="19789"/>
    <cellStyle name="Normal 6 5 2 43 4" xfId="24832"/>
    <cellStyle name="Normal 6 5 2 43 5" xfId="29793"/>
    <cellStyle name="Normal 6 5 2 43 6" xfId="34651"/>
    <cellStyle name="Normal 6 5 2 43 7" xfId="39382"/>
    <cellStyle name="Normal 6 5 2 44" xfId="7481"/>
    <cellStyle name="Normal 6 5 2 44 2" xfId="14556"/>
    <cellStyle name="Normal 6 5 2 44 3" xfId="19673"/>
    <cellStyle name="Normal 6 5 2 44 4" xfId="24716"/>
    <cellStyle name="Normal 6 5 2 44 5" xfId="29677"/>
    <cellStyle name="Normal 6 5 2 44 6" xfId="34535"/>
    <cellStyle name="Normal 6 5 2 44 7" xfId="39266"/>
    <cellStyle name="Normal 6 5 2 45" xfId="8061"/>
    <cellStyle name="Normal 6 5 2 45 2" xfId="15141"/>
    <cellStyle name="Normal 6 5 2 45 3" xfId="20258"/>
    <cellStyle name="Normal 6 5 2 45 4" xfId="25301"/>
    <cellStyle name="Normal 6 5 2 45 5" xfId="30262"/>
    <cellStyle name="Normal 6 5 2 45 6" xfId="35120"/>
    <cellStyle name="Normal 6 5 2 45 7" xfId="39851"/>
    <cellStyle name="Normal 6 5 2 46" xfId="7969"/>
    <cellStyle name="Normal 6 5 2 46 2" xfId="15049"/>
    <cellStyle name="Normal 6 5 2 46 3" xfId="20166"/>
    <cellStyle name="Normal 6 5 2 46 4" xfId="25209"/>
    <cellStyle name="Normal 6 5 2 46 5" xfId="30170"/>
    <cellStyle name="Normal 6 5 2 46 6" xfId="35028"/>
    <cellStyle name="Normal 6 5 2 46 7" xfId="39759"/>
    <cellStyle name="Normal 6 5 2 47" xfId="7990"/>
    <cellStyle name="Normal 6 5 2 47 2" xfId="15070"/>
    <cellStyle name="Normal 6 5 2 47 3" xfId="20187"/>
    <cellStyle name="Normal 6 5 2 47 4" xfId="25230"/>
    <cellStyle name="Normal 6 5 2 47 5" xfId="30191"/>
    <cellStyle name="Normal 6 5 2 47 6" xfId="35049"/>
    <cellStyle name="Normal 6 5 2 47 7" xfId="39780"/>
    <cellStyle name="Normal 6 5 2 48" xfId="8632"/>
    <cellStyle name="Normal 6 5 2 48 2" xfId="15713"/>
    <cellStyle name="Normal 6 5 2 48 3" xfId="20830"/>
    <cellStyle name="Normal 6 5 2 48 4" xfId="25873"/>
    <cellStyle name="Normal 6 5 2 48 5" xfId="30834"/>
    <cellStyle name="Normal 6 5 2 48 6" xfId="35692"/>
    <cellStyle name="Normal 6 5 2 48 7" xfId="40423"/>
    <cellStyle name="Normal 6 5 2 49" xfId="8413"/>
    <cellStyle name="Normal 6 5 2 49 2" xfId="15494"/>
    <cellStyle name="Normal 6 5 2 49 3" xfId="20611"/>
    <cellStyle name="Normal 6 5 2 49 4" xfId="25654"/>
    <cellStyle name="Normal 6 5 2 49 5" xfId="30615"/>
    <cellStyle name="Normal 6 5 2 49 6" xfId="35473"/>
    <cellStyle name="Normal 6 5 2 49 7" xfId="40204"/>
    <cellStyle name="Normal 6 5 2 5" xfId="4415"/>
    <cellStyle name="Normal 6 5 2 5 2" xfId="6314"/>
    <cellStyle name="Normal 6 5 2 5 3" xfId="18422"/>
    <cellStyle name="Normal 6 5 2 5 4" xfId="23465"/>
    <cellStyle name="Normal 6 5 2 5 5" xfId="28426"/>
    <cellStyle name="Normal 6 5 2 5 6" xfId="33284"/>
    <cellStyle name="Normal 6 5 2 5 7" xfId="38015"/>
    <cellStyle name="Normal 6 5 2 50" xfId="8600"/>
    <cellStyle name="Normal 6 5 2 50 2" xfId="15681"/>
    <cellStyle name="Normal 6 5 2 50 3" xfId="20798"/>
    <cellStyle name="Normal 6 5 2 50 4" xfId="25841"/>
    <cellStyle name="Normal 6 5 2 50 5" xfId="30802"/>
    <cellStyle name="Normal 6 5 2 50 6" xfId="35660"/>
    <cellStyle name="Normal 6 5 2 50 7" xfId="40391"/>
    <cellStyle name="Normal 6 5 2 51" xfId="8728"/>
    <cellStyle name="Normal 6 5 2 51 2" xfId="15809"/>
    <cellStyle name="Normal 6 5 2 51 3" xfId="20926"/>
    <cellStyle name="Normal 6 5 2 51 4" xfId="25969"/>
    <cellStyle name="Normal 6 5 2 51 5" xfId="30930"/>
    <cellStyle name="Normal 6 5 2 51 6" xfId="35788"/>
    <cellStyle name="Normal 6 5 2 51 7" xfId="40519"/>
    <cellStyle name="Normal 6 5 2 52" xfId="8831"/>
    <cellStyle name="Normal 6 5 2 52 2" xfId="15912"/>
    <cellStyle name="Normal 6 5 2 52 3" xfId="21029"/>
    <cellStyle name="Normal 6 5 2 52 4" xfId="26072"/>
    <cellStyle name="Normal 6 5 2 52 5" xfId="31033"/>
    <cellStyle name="Normal 6 5 2 52 6" xfId="35891"/>
    <cellStyle name="Normal 6 5 2 52 7" xfId="40622"/>
    <cellStyle name="Normal 6 5 2 53" xfId="8570"/>
    <cellStyle name="Normal 6 5 2 53 2" xfId="15651"/>
    <cellStyle name="Normal 6 5 2 53 3" xfId="20768"/>
    <cellStyle name="Normal 6 5 2 53 4" xfId="25811"/>
    <cellStyle name="Normal 6 5 2 53 5" xfId="30772"/>
    <cellStyle name="Normal 6 5 2 53 6" xfId="35630"/>
    <cellStyle name="Normal 6 5 2 53 7" xfId="40361"/>
    <cellStyle name="Normal 6 5 2 54" xfId="8278"/>
    <cellStyle name="Normal 6 5 2 54 2" xfId="15359"/>
    <cellStyle name="Normal 6 5 2 54 3" xfId="20476"/>
    <cellStyle name="Normal 6 5 2 54 4" xfId="25519"/>
    <cellStyle name="Normal 6 5 2 54 5" xfId="30480"/>
    <cellStyle name="Normal 6 5 2 54 6" xfId="35338"/>
    <cellStyle name="Normal 6 5 2 54 7" xfId="40069"/>
    <cellStyle name="Normal 6 5 2 55" xfId="8748"/>
    <cellStyle name="Normal 6 5 2 55 2" xfId="15829"/>
    <cellStyle name="Normal 6 5 2 55 3" xfId="20946"/>
    <cellStyle name="Normal 6 5 2 55 4" xfId="25989"/>
    <cellStyle name="Normal 6 5 2 55 5" xfId="30950"/>
    <cellStyle name="Normal 6 5 2 55 6" xfId="35808"/>
    <cellStyle name="Normal 6 5 2 55 7" xfId="40539"/>
    <cellStyle name="Normal 6 5 2 56" xfId="8385"/>
    <cellStyle name="Normal 6 5 2 56 2" xfId="15466"/>
    <cellStyle name="Normal 6 5 2 56 3" xfId="20583"/>
    <cellStyle name="Normal 6 5 2 56 4" xfId="25626"/>
    <cellStyle name="Normal 6 5 2 56 5" xfId="30587"/>
    <cellStyle name="Normal 6 5 2 56 6" xfId="35445"/>
    <cellStyle name="Normal 6 5 2 56 7" xfId="40176"/>
    <cellStyle name="Normal 6 5 2 57" xfId="8336"/>
    <cellStyle name="Normal 6 5 2 57 2" xfId="15417"/>
    <cellStyle name="Normal 6 5 2 57 3" xfId="20534"/>
    <cellStyle name="Normal 6 5 2 57 4" xfId="25577"/>
    <cellStyle name="Normal 6 5 2 57 5" xfId="30538"/>
    <cellStyle name="Normal 6 5 2 57 6" xfId="35396"/>
    <cellStyle name="Normal 6 5 2 57 7" xfId="40127"/>
    <cellStyle name="Normal 6 5 2 58" xfId="8258"/>
    <cellStyle name="Normal 6 5 2 58 2" xfId="15339"/>
    <cellStyle name="Normal 6 5 2 58 3" xfId="20456"/>
    <cellStyle name="Normal 6 5 2 58 4" xfId="25499"/>
    <cellStyle name="Normal 6 5 2 58 5" xfId="30460"/>
    <cellStyle name="Normal 6 5 2 58 6" xfId="35318"/>
    <cellStyle name="Normal 6 5 2 58 7" xfId="40049"/>
    <cellStyle name="Normal 6 5 2 59" xfId="8709"/>
    <cellStyle name="Normal 6 5 2 59 2" xfId="15790"/>
    <cellStyle name="Normal 6 5 2 59 3" xfId="20907"/>
    <cellStyle name="Normal 6 5 2 59 4" xfId="25950"/>
    <cellStyle name="Normal 6 5 2 59 5" xfId="30911"/>
    <cellStyle name="Normal 6 5 2 59 6" xfId="35769"/>
    <cellStyle name="Normal 6 5 2 59 7" xfId="40500"/>
    <cellStyle name="Normal 6 5 2 6" xfId="4471"/>
    <cellStyle name="Normal 6 5 2 6 2" xfId="6427"/>
    <cellStyle name="Normal 6 5 2 6 3" xfId="18537"/>
    <cellStyle name="Normal 6 5 2 6 4" xfId="23580"/>
    <cellStyle name="Normal 6 5 2 6 5" xfId="28541"/>
    <cellStyle name="Normal 6 5 2 6 6" xfId="33399"/>
    <cellStyle name="Normal 6 5 2 6 7" xfId="38130"/>
    <cellStyle name="Normal 6 5 2 60" xfId="8787"/>
    <cellStyle name="Normal 6 5 2 60 2" xfId="15868"/>
    <cellStyle name="Normal 6 5 2 60 3" xfId="20985"/>
    <cellStyle name="Normal 6 5 2 60 4" xfId="26028"/>
    <cellStyle name="Normal 6 5 2 60 5" xfId="30989"/>
    <cellStyle name="Normal 6 5 2 60 6" xfId="35847"/>
    <cellStyle name="Normal 6 5 2 60 7" xfId="40578"/>
    <cellStyle name="Normal 6 5 2 61" xfId="8365"/>
    <cellStyle name="Normal 6 5 2 61 2" xfId="15446"/>
    <cellStyle name="Normal 6 5 2 61 3" xfId="20563"/>
    <cellStyle name="Normal 6 5 2 61 4" xfId="25606"/>
    <cellStyle name="Normal 6 5 2 61 5" xfId="30567"/>
    <cellStyle name="Normal 6 5 2 61 6" xfId="35425"/>
    <cellStyle name="Normal 6 5 2 61 7" xfId="40156"/>
    <cellStyle name="Normal 6 5 2 62" xfId="8941"/>
    <cellStyle name="Normal 6 5 2 62 2" xfId="16022"/>
    <cellStyle name="Normal 6 5 2 62 3" xfId="21139"/>
    <cellStyle name="Normal 6 5 2 62 4" xfId="26182"/>
    <cellStyle name="Normal 6 5 2 62 5" xfId="31143"/>
    <cellStyle name="Normal 6 5 2 62 6" xfId="36001"/>
    <cellStyle name="Normal 6 5 2 62 7" xfId="40732"/>
    <cellStyle name="Normal 6 5 2 63" xfId="9391"/>
    <cellStyle name="Normal 6 5 2 63 2" xfId="16472"/>
    <cellStyle name="Normal 6 5 2 63 3" xfId="21589"/>
    <cellStyle name="Normal 6 5 2 63 4" xfId="26632"/>
    <cellStyle name="Normal 6 5 2 63 5" xfId="31593"/>
    <cellStyle name="Normal 6 5 2 63 6" xfId="36451"/>
    <cellStyle name="Normal 6 5 2 63 7" xfId="41182"/>
    <cellStyle name="Normal 6 5 2 64" xfId="9211"/>
    <cellStyle name="Normal 6 5 2 64 2" xfId="16292"/>
    <cellStyle name="Normal 6 5 2 64 3" xfId="21409"/>
    <cellStyle name="Normal 6 5 2 64 4" xfId="26452"/>
    <cellStyle name="Normal 6 5 2 64 5" xfId="31413"/>
    <cellStyle name="Normal 6 5 2 64 6" xfId="36271"/>
    <cellStyle name="Normal 6 5 2 64 7" xfId="41002"/>
    <cellStyle name="Normal 6 5 2 65" xfId="9367"/>
    <cellStyle name="Normal 6 5 2 65 2" xfId="16448"/>
    <cellStyle name="Normal 6 5 2 65 3" xfId="21565"/>
    <cellStyle name="Normal 6 5 2 65 4" xfId="26608"/>
    <cellStyle name="Normal 6 5 2 65 5" xfId="31569"/>
    <cellStyle name="Normal 6 5 2 65 6" xfId="36427"/>
    <cellStyle name="Normal 6 5 2 65 7" xfId="41158"/>
    <cellStyle name="Normal 6 5 2 66" xfId="9472"/>
    <cellStyle name="Normal 6 5 2 66 2" xfId="16553"/>
    <cellStyle name="Normal 6 5 2 66 3" xfId="21670"/>
    <cellStyle name="Normal 6 5 2 66 4" xfId="26713"/>
    <cellStyle name="Normal 6 5 2 66 5" xfId="31674"/>
    <cellStyle name="Normal 6 5 2 66 6" xfId="36532"/>
    <cellStyle name="Normal 6 5 2 66 7" xfId="41263"/>
    <cellStyle name="Normal 6 5 2 67" xfId="9554"/>
    <cellStyle name="Normal 6 5 2 67 2" xfId="16635"/>
    <cellStyle name="Normal 6 5 2 67 3" xfId="21752"/>
    <cellStyle name="Normal 6 5 2 67 4" xfId="26795"/>
    <cellStyle name="Normal 6 5 2 67 5" xfId="31756"/>
    <cellStyle name="Normal 6 5 2 67 6" xfId="36614"/>
    <cellStyle name="Normal 6 5 2 67 7" xfId="41345"/>
    <cellStyle name="Normal 6 5 2 68" xfId="9347"/>
    <cellStyle name="Normal 6 5 2 68 2" xfId="16428"/>
    <cellStyle name="Normal 6 5 2 68 3" xfId="21545"/>
    <cellStyle name="Normal 6 5 2 68 4" xfId="26588"/>
    <cellStyle name="Normal 6 5 2 68 5" xfId="31549"/>
    <cellStyle name="Normal 6 5 2 68 6" xfId="36407"/>
    <cellStyle name="Normal 6 5 2 68 7" xfId="41138"/>
    <cellStyle name="Normal 6 5 2 69" xfId="9093"/>
    <cellStyle name="Normal 6 5 2 69 2" xfId="16174"/>
    <cellStyle name="Normal 6 5 2 69 3" xfId="21291"/>
    <cellStyle name="Normal 6 5 2 69 4" xfId="26334"/>
    <cellStyle name="Normal 6 5 2 69 5" xfId="31295"/>
    <cellStyle name="Normal 6 5 2 69 6" xfId="36153"/>
    <cellStyle name="Normal 6 5 2 69 7" xfId="40884"/>
    <cellStyle name="Normal 6 5 2 7" xfId="4579"/>
    <cellStyle name="Normal 6 5 2 7 2" xfId="6158"/>
    <cellStyle name="Normal 6 5 2 7 3" xfId="18262"/>
    <cellStyle name="Normal 6 5 2 7 4" xfId="23305"/>
    <cellStyle name="Normal 6 5 2 7 5" xfId="28266"/>
    <cellStyle name="Normal 6 5 2 7 6" xfId="33124"/>
    <cellStyle name="Normal 6 5 2 7 7" xfId="37855"/>
    <cellStyle name="Normal 6 5 2 70" xfId="9373"/>
    <cellStyle name="Normal 6 5 2 70 2" xfId="16454"/>
    <cellStyle name="Normal 6 5 2 70 3" xfId="21571"/>
    <cellStyle name="Normal 6 5 2 70 4" xfId="26614"/>
    <cellStyle name="Normal 6 5 2 70 5" xfId="31575"/>
    <cellStyle name="Normal 6 5 2 70 6" xfId="36433"/>
    <cellStyle name="Normal 6 5 2 70 7" xfId="41164"/>
    <cellStyle name="Normal 6 5 2 71" xfId="9581"/>
    <cellStyle name="Normal 6 5 2 71 2" xfId="16662"/>
    <cellStyle name="Normal 6 5 2 71 3" xfId="21779"/>
    <cellStyle name="Normal 6 5 2 71 4" xfId="26822"/>
    <cellStyle name="Normal 6 5 2 71 5" xfId="31783"/>
    <cellStyle name="Normal 6 5 2 71 6" xfId="36641"/>
    <cellStyle name="Normal 6 5 2 71 7" xfId="41372"/>
    <cellStyle name="Normal 6 5 2 72" xfId="9172"/>
    <cellStyle name="Normal 6 5 2 72 2" xfId="16253"/>
    <cellStyle name="Normal 6 5 2 72 3" xfId="21370"/>
    <cellStyle name="Normal 6 5 2 72 4" xfId="26413"/>
    <cellStyle name="Normal 6 5 2 72 5" xfId="31374"/>
    <cellStyle name="Normal 6 5 2 72 6" xfId="36232"/>
    <cellStyle name="Normal 6 5 2 72 7" xfId="40963"/>
    <cellStyle name="Normal 6 5 2 73" xfId="9073"/>
    <cellStyle name="Normal 6 5 2 73 2" xfId="16154"/>
    <cellStyle name="Normal 6 5 2 73 3" xfId="21271"/>
    <cellStyle name="Normal 6 5 2 73 4" xfId="26314"/>
    <cellStyle name="Normal 6 5 2 73 5" xfId="31275"/>
    <cellStyle name="Normal 6 5 2 73 6" xfId="36133"/>
    <cellStyle name="Normal 6 5 2 73 7" xfId="40864"/>
    <cellStyle name="Normal 6 5 2 74" xfId="9576"/>
    <cellStyle name="Normal 6 5 2 74 2" xfId="16657"/>
    <cellStyle name="Normal 6 5 2 74 3" xfId="21774"/>
    <cellStyle name="Normal 6 5 2 74 4" xfId="26817"/>
    <cellStyle name="Normal 6 5 2 74 5" xfId="31778"/>
    <cellStyle name="Normal 6 5 2 74 6" xfId="36636"/>
    <cellStyle name="Normal 6 5 2 74 7" xfId="41367"/>
    <cellStyle name="Normal 6 5 2 75" xfId="9887"/>
    <cellStyle name="Normal 6 5 2 75 2" xfId="16968"/>
    <cellStyle name="Normal 6 5 2 75 3" xfId="22085"/>
    <cellStyle name="Normal 6 5 2 75 4" xfId="27128"/>
    <cellStyle name="Normal 6 5 2 75 5" xfId="32089"/>
    <cellStyle name="Normal 6 5 2 75 6" xfId="36947"/>
    <cellStyle name="Normal 6 5 2 75 7" xfId="41678"/>
    <cellStyle name="Normal 6 5 2 76" xfId="9790"/>
    <cellStyle name="Normal 6 5 2 76 2" xfId="16871"/>
    <cellStyle name="Normal 6 5 2 76 3" xfId="21988"/>
    <cellStyle name="Normal 6 5 2 76 4" xfId="27031"/>
    <cellStyle name="Normal 6 5 2 76 5" xfId="31992"/>
    <cellStyle name="Normal 6 5 2 76 6" xfId="36850"/>
    <cellStyle name="Normal 6 5 2 76 7" xfId="41581"/>
    <cellStyle name="Normal 6 5 2 77" xfId="9871"/>
    <cellStyle name="Normal 6 5 2 77 2" xfId="16952"/>
    <cellStyle name="Normal 6 5 2 77 3" xfId="22069"/>
    <cellStyle name="Normal 6 5 2 77 4" xfId="27112"/>
    <cellStyle name="Normal 6 5 2 77 5" xfId="32073"/>
    <cellStyle name="Normal 6 5 2 77 6" xfId="36931"/>
    <cellStyle name="Normal 6 5 2 77 7" xfId="41662"/>
    <cellStyle name="Normal 6 5 2 78" xfId="9937"/>
    <cellStyle name="Normal 6 5 2 78 2" xfId="17018"/>
    <cellStyle name="Normal 6 5 2 78 3" xfId="22135"/>
    <cellStyle name="Normal 6 5 2 78 4" xfId="27178"/>
    <cellStyle name="Normal 6 5 2 78 5" xfId="32139"/>
    <cellStyle name="Normal 6 5 2 78 6" xfId="36997"/>
    <cellStyle name="Normal 6 5 2 78 7" xfId="41728"/>
    <cellStyle name="Normal 6 5 2 79" xfId="9977"/>
    <cellStyle name="Normal 6 5 2 79 2" xfId="17058"/>
    <cellStyle name="Normal 6 5 2 79 3" xfId="22175"/>
    <cellStyle name="Normal 6 5 2 79 4" xfId="27218"/>
    <cellStyle name="Normal 6 5 2 79 5" xfId="32179"/>
    <cellStyle name="Normal 6 5 2 79 6" xfId="37037"/>
    <cellStyle name="Normal 6 5 2 79 7" xfId="41768"/>
    <cellStyle name="Normal 6 5 2 8" xfId="4522"/>
    <cellStyle name="Normal 6 5 2 8 2" xfId="5836"/>
    <cellStyle name="Normal 6 5 2 8 3" xfId="17935"/>
    <cellStyle name="Normal 6 5 2 8 4" xfId="22978"/>
    <cellStyle name="Normal 6 5 2 8 5" xfId="27939"/>
    <cellStyle name="Normal 6 5 2 8 6" xfId="32797"/>
    <cellStyle name="Normal 6 5 2 8 7" xfId="37528"/>
    <cellStyle name="Normal 6 5 2 80" xfId="9859"/>
    <cellStyle name="Normal 6 5 2 80 2" xfId="16940"/>
    <cellStyle name="Normal 6 5 2 80 3" xfId="22057"/>
    <cellStyle name="Normal 6 5 2 80 4" xfId="27100"/>
    <cellStyle name="Normal 6 5 2 80 5" xfId="32061"/>
    <cellStyle name="Normal 6 5 2 80 6" xfId="36919"/>
    <cellStyle name="Normal 6 5 2 80 7" xfId="41650"/>
    <cellStyle name="Normal 6 5 2 81" xfId="10217"/>
    <cellStyle name="Normal 6 5 2 81 2" xfId="17298"/>
    <cellStyle name="Normal 6 5 2 81 3" xfId="22415"/>
    <cellStyle name="Normal 6 5 2 81 4" xfId="27458"/>
    <cellStyle name="Normal 6 5 2 81 5" xfId="32419"/>
    <cellStyle name="Normal 6 5 2 81 6" xfId="37277"/>
    <cellStyle name="Normal 6 5 2 81 7" xfId="42008"/>
    <cellStyle name="Normal 6 5 2 82" xfId="10120"/>
    <cellStyle name="Normal 6 5 2 82 2" xfId="17201"/>
    <cellStyle name="Normal 6 5 2 82 3" xfId="22318"/>
    <cellStyle name="Normal 6 5 2 82 4" xfId="27361"/>
    <cellStyle name="Normal 6 5 2 82 5" xfId="32322"/>
    <cellStyle name="Normal 6 5 2 82 6" xfId="37180"/>
    <cellStyle name="Normal 6 5 2 82 7" xfId="41911"/>
    <cellStyle name="Normal 6 5 2 83" xfId="10201"/>
    <cellStyle name="Normal 6 5 2 83 2" xfId="17282"/>
    <cellStyle name="Normal 6 5 2 83 3" xfId="22399"/>
    <cellStyle name="Normal 6 5 2 83 4" xfId="27442"/>
    <cellStyle name="Normal 6 5 2 83 5" xfId="32403"/>
    <cellStyle name="Normal 6 5 2 83 6" xfId="37261"/>
    <cellStyle name="Normal 6 5 2 83 7" xfId="41992"/>
    <cellStyle name="Normal 6 5 2 84" xfId="10267"/>
    <cellStyle name="Normal 6 5 2 84 2" xfId="17348"/>
    <cellStyle name="Normal 6 5 2 84 3" xfId="22465"/>
    <cellStyle name="Normal 6 5 2 84 4" xfId="27508"/>
    <cellStyle name="Normal 6 5 2 84 5" xfId="32469"/>
    <cellStyle name="Normal 6 5 2 84 6" xfId="37327"/>
    <cellStyle name="Normal 6 5 2 84 7" xfId="42058"/>
    <cellStyle name="Normal 6 5 2 85" xfId="10307"/>
    <cellStyle name="Normal 6 5 2 85 2" xfId="17388"/>
    <cellStyle name="Normal 6 5 2 85 3" xfId="22505"/>
    <cellStyle name="Normal 6 5 2 85 4" xfId="27548"/>
    <cellStyle name="Normal 6 5 2 85 5" xfId="32509"/>
    <cellStyle name="Normal 6 5 2 85 6" xfId="37367"/>
    <cellStyle name="Normal 6 5 2 85 7" xfId="42098"/>
    <cellStyle name="Normal 6 5 2 86" xfId="10189"/>
    <cellStyle name="Normal 6 5 2 86 2" xfId="17270"/>
    <cellStyle name="Normal 6 5 2 86 3" xfId="22387"/>
    <cellStyle name="Normal 6 5 2 86 4" xfId="27430"/>
    <cellStyle name="Normal 6 5 2 86 5" xfId="32391"/>
    <cellStyle name="Normal 6 5 2 86 6" xfId="37249"/>
    <cellStyle name="Normal 6 5 2 86 7" xfId="41980"/>
    <cellStyle name="Normal 6 5 2 87" xfId="13036"/>
    <cellStyle name="Normal 6 5 2 88" xfId="12923"/>
    <cellStyle name="Normal 6 5 2 89" xfId="11967"/>
    <cellStyle name="Normal 6 5 2 9" xfId="4602"/>
    <cellStyle name="Normal 6 5 2 9 2" xfId="6190"/>
    <cellStyle name="Normal 6 5 2 9 3" xfId="18294"/>
    <cellStyle name="Normal 6 5 2 9 4" xfId="23337"/>
    <cellStyle name="Normal 6 5 2 9 5" xfId="28298"/>
    <cellStyle name="Normal 6 5 2 9 6" xfId="33156"/>
    <cellStyle name="Normal 6 5 2 9 7" xfId="37887"/>
    <cellStyle name="Normal 6 5 2 90" xfId="13600"/>
    <cellStyle name="Normal 6 5 2 91" xfId="11398"/>
    <cellStyle name="Normal 6 5 2 92" xfId="12773"/>
    <cellStyle name="Normal 6 5 20" xfId="5131"/>
    <cellStyle name="Normal 6 5 20 2" xfId="6712"/>
    <cellStyle name="Normal 6 5 20 3" xfId="18833"/>
    <cellStyle name="Normal 6 5 20 4" xfId="23876"/>
    <cellStyle name="Normal 6 5 20 5" xfId="28837"/>
    <cellStyle name="Normal 6 5 20 6" xfId="33695"/>
    <cellStyle name="Normal 6 5 20 7" xfId="38426"/>
    <cellStyle name="Normal 6 5 21" xfId="5313"/>
    <cellStyle name="Normal 6 5 21 2" xfId="6842"/>
    <cellStyle name="Normal 6 5 21 3" xfId="18963"/>
    <cellStyle name="Normal 6 5 21 4" xfId="24006"/>
    <cellStyle name="Normal 6 5 21 5" xfId="28967"/>
    <cellStyle name="Normal 6 5 21 6" xfId="33825"/>
    <cellStyle name="Normal 6 5 21 7" xfId="38556"/>
    <cellStyle name="Normal 6 5 22" xfId="5597"/>
    <cellStyle name="Normal 6 5 22 2" xfId="6754"/>
    <cellStyle name="Normal 6 5 22 3" xfId="18875"/>
    <cellStyle name="Normal 6 5 22 4" xfId="23918"/>
    <cellStyle name="Normal 6 5 22 5" xfId="28879"/>
    <cellStyle name="Normal 6 5 22 6" xfId="33737"/>
    <cellStyle name="Normal 6 5 22 7" xfId="38468"/>
    <cellStyle name="Normal 6 5 23" xfId="5401"/>
    <cellStyle name="Normal 6 5 23 2" xfId="6840"/>
    <cellStyle name="Normal 6 5 23 3" xfId="18961"/>
    <cellStyle name="Normal 6 5 23 4" xfId="24004"/>
    <cellStyle name="Normal 6 5 23 5" xfId="28965"/>
    <cellStyle name="Normal 6 5 23 6" xfId="33823"/>
    <cellStyle name="Normal 6 5 23 7" xfId="38554"/>
    <cellStyle name="Normal 6 5 24" xfId="5594"/>
    <cellStyle name="Normal 6 5 24 2" xfId="7026"/>
    <cellStyle name="Normal 6 5 24 3" xfId="19165"/>
    <cellStyle name="Normal 6 5 24 4" xfId="24208"/>
    <cellStyle name="Normal 6 5 24 5" xfId="29169"/>
    <cellStyle name="Normal 6 5 24 6" xfId="34027"/>
    <cellStyle name="Normal 6 5 24 7" xfId="38758"/>
    <cellStyle name="Normal 6 5 25" xfId="5596"/>
    <cellStyle name="Normal 6 5 25 2" xfId="7363"/>
    <cellStyle name="Normal 6 5 25 3" xfId="19536"/>
    <cellStyle name="Normal 6 5 25 4" xfId="24579"/>
    <cellStyle name="Normal 6 5 25 5" xfId="29540"/>
    <cellStyle name="Normal 6 5 25 6" xfId="34398"/>
    <cellStyle name="Normal 6 5 25 7" xfId="39129"/>
    <cellStyle name="Normal 6 5 26" xfId="5372"/>
    <cellStyle name="Normal 6 5 26 2" xfId="7145"/>
    <cellStyle name="Normal 6 5 26 3" xfId="19297"/>
    <cellStyle name="Normal 6 5 26 4" xfId="24340"/>
    <cellStyle name="Normal 6 5 26 5" xfId="29301"/>
    <cellStyle name="Normal 6 5 26 6" xfId="34159"/>
    <cellStyle name="Normal 6 5 26 7" xfId="38890"/>
    <cellStyle name="Normal 6 5 27" xfId="5504"/>
    <cellStyle name="Normal 6 5 27 2" xfId="7358"/>
    <cellStyle name="Normal 6 5 27 3" xfId="19531"/>
    <cellStyle name="Normal 6 5 27 4" xfId="24574"/>
    <cellStyle name="Normal 6 5 27 5" xfId="29535"/>
    <cellStyle name="Normal 6 5 27 6" xfId="34393"/>
    <cellStyle name="Normal 6 5 27 7" xfId="39124"/>
    <cellStyle name="Normal 6 5 28" xfId="5517"/>
    <cellStyle name="Normal 6 5 28 2" xfId="7361"/>
    <cellStyle name="Normal 6 5 28 3" xfId="19534"/>
    <cellStyle name="Normal 6 5 28 4" xfId="24577"/>
    <cellStyle name="Normal 6 5 28 5" xfId="29538"/>
    <cellStyle name="Normal 6 5 28 6" xfId="34396"/>
    <cellStyle name="Normal 6 5 28 7" xfId="39127"/>
    <cellStyle name="Normal 6 5 29" xfId="5564"/>
    <cellStyle name="Normal 6 5 29 2" xfId="7104"/>
    <cellStyle name="Normal 6 5 29 3" xfId="19250"/>
    <cellStyle name="Normal 6 5 29 4" xfId="24293"/>
    <cellStyle name="Normal 6 5 29 5" xfId="29254"/>
    <cellStyle name="Normal 6 5 29 6" xfId="34112"/>
    <cellStyle name="Normal 6 5 29 7" xfId="38843"/>
    <cellStyle name="Normal 6 5 3" xfId="2517"/>
    <cellStyle name="Normal 6 5 3 10" xfId="4708"/>
    <cellStyle name="Normal 6 5 3 10 2" xfId="6017"/>
    <cellStyle name="Normal 6 5 3 10 3" xfId="18120"/>
    <cellStyle name="Normal 6 5 3 10 4" xfId="23163"/>
    <cellStyle name="Normal 6 5 3 10 5" xfId="28124"/>
    <cellStyle name="Normal 6 5 3 10 6" xfId="32982"/>
    <cellStyle name="Normal 6 5 3 10 7" xfId="37713"/>
    <cellStyle name="Normal 6 5 3 11" xfId="4865"/>
    <cellStyle name="Normal 6 5 3 11 2" xfId="6180"/>
    <cellStyle name="Normal 6 5 3 11 3" xfId="18284"/>
    <cellStyle name="Normal 6 5 3 11 4" xfId="23327"/>
    <cellStyle name="Normal 6 5 3 11 5" xfId="28288"/>
    <cellStyle name="Normal 6 5 3 11 6" xfId="33146"/>
    <cellStyle name="Normal 6 5 3 11 7" xfId="37877"/>
    <cellStyle name="Normal 6 5 3 12" xfId="4747"/>
    <cellStyle name="Normal 6 5 3 12 2" xfId="6032"/>
    <cellStyle name="Normal 6 5 3 12 3" xfId="18136"/>
    <cellStyle name="Normal 6 5 3 12 4" xfId="23179"/>
    <cellStyle name="Normal 6 5 3 12 5" xfId="28140"/>
    <cellStyle name="Normal 6 5 3 12 6" xfId="32998"/>
    <cellStyle name="Normal 6 5 3 12 7" xfId="37729"/>
    <cellStyle name="Normal 6 5 3 13" xfId="4821"/>
    <cellStyle name="Normal 6 5 3 13 2" xfId="5909"/>
    <cellStyle name="Normal 6 5 3 13 3" xfId="18011"/>
    <cellStyle name="Normal 6 5 3 13 4" xfId="23054"/>
    <cellStyle name="Normal 6 5 3 13 5" xfId="28015"/>
    <cellStyle name="Normal 6 5 3 13 6" xfId="32873"/>
    <cellStyle name="Normal 6 5 3 13 7" xfId="37604"/>
    <cellStyle name="Normal 6 5 3 14" xfId="4874"/>
    <cellStyle name="Normal 6 5 3 14 2" xfId="6072"/>
    <cellStyle name="Normal 6 5 3 14 3" xfId="18176"/>
    <cellStyle name="Normal 6 5 3 14 4" xfId="23219"/>
    <cellStyle name="Normal 6 5 3 14 5" xfId="28180"/>
    <cellStyle name="Normal 6 5 3 14 6" xfId="33038"/>
    <cellStyle name="Normal 6 5 3 14 7" xfId="37769"/>
    <cellStyle name="Normal 6 5 3 15" xfId="5090"/>
    <cellStyle name="Normal 6 5 3 15 2" xfId="6235"/>
    <cellStyle name="Normal 6 5 3 15 3" xfId="18339"/>
    <cellStyle name="Normal 6 5 3 15 4" xfId="23382"/>
    <cellStyle name="Normal 6 5 3 15 5" xfId="28343"/>
    <cellStyle name="Normal 6 5 3 15 6" xfId="33201"/>
    <cellStyle name="Normal 6 5 3 15 7" xfId="37932"/>
    <cellStyle name="Normal 6 5 3 16" xfId="4970"/>
    <cellStyle name="Normal 6 5 3 16 2" xfId="6286"/>
    <cellStyle name="Normal 6 5 3 16 3" xfId="18392"/>
    <cellStyle name="Normal 6 5 3 16 4" xfId="23435"/>
    <cellStyle name="Normal 6 5 3 16 5" xfId="28396"/>
    <cellStyle name="Normal 6 5 3 16 6" xfId="33254"/>
    <cellStyle name="Normal 6 5 3 16 7" xfId="37985"/>
    <cellStyle name="Normal 6 5 3 17" xfId="5036"/>
    <cellStyle name="Normal 6 5 3 17 2" xfId="6285"/>
    <cellStyle name="Normal 6 5 3 17 3" xfId="18391"/>
    <cellStyle name="Normal 6 5 3 17 4" xfId="23434"/>
    <cellStyle name="Normal 6 5 3 17 5" xfId="28395"/>
    <cellStyle name="Normal 6 5 3 17 6" xfId="33253"/>
    <cellStyle name="Normal 6 5 3 17 7" xfId="37984"/>
    <cellStyle name="Normal 6 5 3 18" xfId="5136"/>
    <cellStyle name="Normal 6 5 3 18 2" xfId="6784"/>
    <cellStyle name="Normal 6 5 3 18 3" xfId="18905"/>
    <cellStyle name="Normal 6 5 3 18 4" xfId="23948"/>
    <cellStyle name="Normal 6 5 3 18 5" xfId="28909"/>
    <cellStyle name="Normal 6 5 3 18 6" xfId="33767"/>
    <cellStyle name="Normal 6 5 3 18 7" xfId="38498"/>
    <cellStyle name="Normal 6 5 3 19" xfId="5444"/>
    <cellStyle name="Normal 6 5 3 19 2" xfId="6665"/>
    <cellStyle name="Normal 6 5 3 19 3" xfId="18785"/>
    <cellStyle name="Normal 6 5 3 19 4" xfId="23828"/>
    <cellStyle name="Normal 6 5 3 19 5" xfId="28789"/>
    <cellStyle name="Normal 6 5 3 19 6" xfId="33647"/>
    <cellStyle name="Normal 6 5 3 19 7" xfId="38378"/>
    <cellStyle name="Normal 6 5 3 2" xfId="4309"/>
    <cellStyle name="Normal 6 5 3 2 2" xfId="6223"/>
    <cellStyle name="Normal 6 5 3 2 3" xfId="18327"/>
    <cellStyle name="Normal 6 5 3 2 4" xfId="23370"/>
    <cellStyle name="Normal 6 5 3 2 5" xfId="28331"/>
    <cellStyle name="Normal 6 5 3 2 6" xfId="33189"/>
    <cellStyle name="Normal 6 5 3 2 7" xfId="37920"/>
    <cellStyle name="Normal 6 5 3 20" xfId="5197"/>
    <cellStyle name="Normal 6 5 3 20 2" xfId="6736"/>
    <cellStyle name="Normal 6 5 3 20 3" xfId="18857"/>
    <cellStyle name="Normal 6 5 3 20 4" xfId="23900"/>
    <cellStyle name="Normal 6 5 3 20 5" xfId="28861"/>
    <cellStyle name="Normal 6 5 3 20 6" xfId="33719"/>
    <cellStyle name="Normal 6 5 3 20 7" xfId="38450"/>
    <cellStyle name="Normal 6 5 3 21" xfId="5365"/>
    <cellStyle name="Normal 6 5 3 21 2" xfId="6793"/>
    <cellStyle name="Normal 6 5 3 21 3" xfId="18914"/>
    <cellStyle name="Normal 6 5 3 21 4" xfId="23957"/>
    <cellStyle name="Normal 6 5 3 21 5" xfId="28918"/>
    <cellStyle name="Normal 6 5 3 21 6" xfId="33776"/>
    <cellStyle name="Normal 6 5 3 21 7" xfId="38507"/>
    <cellStyle name="Normal 6 5 3 22" xfId="5462"/>
    <cellStyle name="Normal 6 5 3 22 2" xfId="7188"/>
    <cellStyle name="Normal 6 5 3 22 3" xfId="19343"/>
    <cellStyle name="Normal 6 5 3 22 4" xfId="24386"/>
    <cellStyle name="Normal 6 5 3 22 5" xfId="29347"/>
    <cellStyle name="Normal 6 5 3 22 6" xfId="34205"/>
    <cellStyle name="Normal 6 5 3 22 7" xfId="38936"/>
    <cellStyle name="Normal 6 5 3 23" xfId="5402"/>
    <cellStyle name="Normal 6 5 3 23 2" xfId="6898"/>
    <cellStyle name="Normal 6 5 3 23 3" xfId="19022"/>
    <cellStyle name="Normal 6 5 3 23 4" xfId="24065"/>
    <cellStyle name="Normal 6 5 3 23 5" xfId="29026"/>
    <cellStyle name="Normal 6 5 3 23 6" xfId="33884"/>
    <cellStyle name="Normal 6 5 3 23 7" xfId="38615"/>
    <cellStyle name="Normal 6 5 3 24" xfId="5349"/>
    <cellStyle name="Normal 6 5 3 24 2" xfId="7086"/>
    <cellStyle name="Normal 6 5 3 24 3" xfId="19231"/>
    <cellStyle name="Normal 6 5 3 24 4" xfId="24274"/>
    <cellStyle name="Normal 6 5 3 24 5" xfId="29235"/>
    <cellStyle name="Normal 6 5 3 24 6" xfId="34093"/>
    <cellStyle name="Normal 6 5 3 24 7" xfId="38824"/>
    <cellStyle name="Normal 6 5 3 25" xfId="5412"/>
    <cellStyle name="Normal 6 5 3 25 2" xfId="7213"/>
    <cellStyle name="Normal 6 5 3 25 3" xfId="19370"/>
    <cellStyle name="Normal 6 5 3 25 4" xfId="24413"/>
    <cellStyle name="Normal 6 5 3 25 5" xfId="29374"/>
    <cellStyle name="Normal 6 5 3 25 6" xfId="34232"/>
    <cellStyle name="Normal 6 5 3 25 7" xfId="38963"/>
    <cellStyle name="Normal 6 5 3 26" xfId="5475"/>
    <cellStyle name="Normal 6 5 3 26 2" xfId="7149"/>
    <cellStyle name="Normal 6 5 3 26 3" xfId="19301"/>
    <cellStyle name="Normal 6 5 3 26 4" xfId="24344"/>
    <cellStyle name="Normal 6 5 3 26 5" xfId="29305"/>
    <cellStyle name="Normal 6 5 3 26 6" xfId="34163"/>
    <cellStyle name="Normal 6 5 3 26 7" xfId="38894"/>
    <cellStyle name="Normal 6 5 3 27" xfId="5322"/>
    <cellStyle name="Normal 6 5 3 27 2" xfId="7069"/>
    <cellStyle name="Normal 6 5 3 27 3" xfId="19213"/>
    <cellStyle name="Normal 6 5 3 27 4" xfId="24256"/>
    <cellStyle name="Normal 6 5 3 27 5" xfId="29217"/>
    <cellStyle name="Normal 6 5 3 27 6" xfId="34075"/>
    <cellStyle name="Normal 6 5 3 27 7" xfId="38806"/>
    <cellStyle name="Normal 6 5 3 28" xfId="5794"/>
    <cellStyle name="Normal 6 5 3 28 2" xfId="14378"/>
    <cellStyle name="Normal 6 5 3 28 3" xfId="19311"/>
    <cellStyle name="Normal 6 5 3 28 4" xfId="24354"/>
    <cellStyle name="Normal 6 5 3 28 5" xfId="29315"/>
    <cellStyle name="Normal 6 5 3 28 6" xfId="34173"/>
    <cellStyle name="Normal 6 5 3 28 7" xfId="38904"/>
    <cellStyle name="Normal 6 5 3 29" xfId="7229"/>
    <cellStyle name="Normal 6 5 3 29 2" xfId="14399"/>
    <cellStyle name="Normal 6 5 3 29 3" xfId="19387"/>
    <cellStyle name="Normal 6 5 3 29 4" xfId="24430"/>
    <cellStyle name="Normal 6 5 3 29 5" xfId="29391"/>
    <cellStyle name="Normal 6 5 3 29 6" xfId="34249"/>
    <cellStyle name="Normal 6 5 3 29 7" xfId="38980"/>
    <cellStyle name="Normal 6 5 3 3" xfId="4353"/>
    <cellStyle name="Normal 6 5 3 3 2" xfId="5824"/>
    <cellStyle name="Normal 6 5 3 3 3" xfId="17923"/>
    <cellStyle name="Normal 6 5 3 3 4" xfId="22966"/>
    <cellStyle name="Normal 6 5 3 3 5" xfId="27927"/>
    <cellStyle name="Normal 6 5 3 3 6" xfId="32785"/>
    <cellStyle name="Normal 6 5 3 3 7" xfId="37516"/>
    <cellStyle name="Normal 6 5 3 30" xfId="7035"/>
    <cellStyle name="Normal 6 5 3 30 2" xfId="14305"/>
    <cellStyle name="Normal 6 5 3 30 3" xfId="19175"/>
    <cellStyle name="Normal 6 5 3 30 4" xfId="24218"/>
    <cellStyle name="Normal 6 5 3 30 5" xfId="29179"/>
    <cellStyle name="Normal 6 5 3 30 6" xfId="34037"/>
    <cellStyle name="Normal 6 5 3 30 7" xfId="38768"/>
    <cellStyle name="Normal 6 5 3 31" xfId="7152"/>
    <cellStyle name="Normal 6 5 3 31 2" xfId="14373"/>
    <cellStyle name="Normal 6 5 3 31 3" xfId="19304"/>
    <cellStyle name="Normal 6 5 3 31 4" xfId="24347"/>
    <cellStyle name="Normal 6 5 3 31 5" xfId="29308"/>
    <cellStyle name="Normal 6 5 3 31 6" xfId="34166"/>
    <cellStyle name="Normal 6 5 3 31 7" xfId="38897"/>
    <cellStyle name="Normal 6 5 3 32" xfId="7047"/>
    <cellStyle name="Normal 6 5 3 32 2" xfId="14315"/>
    <cellStyle name="Normal 6 5 3 32 3" xfId="19189"/>
    <cellStyle name="Normal 6 5 3 32 4" xfId="24232"/>
    <cellStyle name="Normal 6 5 3 32 5" xfId="29193"/>
    <cellStyle name="Normal 6 5 3 32 6" xfId="34051"/>
    <cellStyle name="Normal 6 5 3 32 7" xfId="38782"/>
    <cellStyle name="Normal 6 5 3 33" xfId="6961"/>
    <cellStyle name="Normal 6 5 3 33 2" xfId="14265"/>
    <cellStyle name="Normal 6 5 3 33 3" xfId="19093"/>
    <cellStyle name="Normal 6 5 3 33 4" xfId="24136"/>
    <cellStyle name="Normal 6 5 3 33 5" xfId="29097"/>
    <cellStyle name="Normal 6 5 3 33 6" xfId="33955"/>
    <cellStyle name="Normal 6 5 3 33 7" xfId="38686"/>
    <cellStyle name="Normal 6 5 3 34" xfId="7849"/>
    <cellStyle name="Normal 6 5 3 34 2" xfId="14929"/>
    <cellStyle name="Normal 6 5 3 34 3" xfId="20046"/>
    <cellStyle name="Normal 6 5 3 34 4" xfId="25089"/>
    <cellStyle name="Normal 6 5 3 34 5" xfId="30050"/>
    <cellStyle name="Normal 6 5 3 34 6" xfId="34908"/>
    <cellStyle name="Normal 6 5 3 34 7" xfId="39639"/>
    <cellStyle name="Normal 6 5 3 35" xfId="7490"/>
    <cellStyle name="Normal 6 5 3 35 2" xfId="14566"/>
    <cellStyle name="Normal 6 5 3 35 3" xfId="19683"/>
    <cellStyle name="Normal 6 5 3 35 4" xfId="24726"/>
    <cellStyle name="Normal 6 5 3 35 5" xfId="29687"/>
    <cellStyle name="Normal 6 5 3 35 6" xfId="34545"/>
    <cellStyle name="Normal 6 5 3 35 7" xfId="39276"/>
    <cellStyle name="Normal 6 5 3 36" xfId="7728"/>
    <cellStyle name="Normal 6 5 3 36 2" xfId="14808"/>
    <cellStyle name="Normal 6 5 3 36 3" xfId="19925"/>
    <cellStyle name="Normal 6 5 3 36 4" xfId="24968"/>
    <cellStyle name="Normal 6 5 3 36 5" xfId="29929"/>
    <cellStyle name="Normal 6 5 3 36 6" xfId="34787"/>
    <cellStyle name="Normal 6 5 3 36 7" xfId="39518"/>
    <cellStyle name="Normal 6 5 3 37" xfId="7881"/>
    <cellStyle name="Normal 6 5 3 37 2" xfId="14961"/>
    <cellStyle name="Normal 6 5 3 37 3" xfId="20078"/>
    <cellStyle name="Normal 6 5 3 37 4" xfId="25121"/>
    <cellStyle name="Normal 6 5 3 37 5" xfId="30082"/>
    <cellStyle name="Normal 6 5 3 37 6" xfId="34940"/>
    <cellStyle name="Normal 6 5 3 37 7" xfId="39671"/>
    <cellStyle name="Normal 6 5 3 38" xfId="7806"/>
    <cellStyle name="Normal 6 5 3 38 2" xfId="14886"/>
    <cellStyle name="Normal 6 5 3 38 3" xfId="20003"/>
    <cellStyle name="Normal 6 5 3 38 4" xfId="25046"/>
    <cellStyle name="Normal 6 5 3 38 5" xfId="30007"/>
    <cellStyle name="Normal 6 5 3 38 6" xfId="34865"/>
    <cellStyle name="Normal 6 5 3 38 7" xfId="39596"/>
    <cellStyle name="Normal 6 5 3 39" xfId="7709"/>
    <cellStyle name="Normal 6 5 3 39 2" xfId="14789"/>
    <cellStyle name="Normal 6 5 3 39 3" xfId="19906"/>
    <cellStyle name="Normal 6 5 3 39 4" xfId="24949"/>
    <cellStyle name="Normal 6 5 3 39 5" xfId="29910"/>
    <cellStyle name="Normal 6 5 3 39 6" xfId="34768"/>
    <cellStyle name="Normal 6 5 3 39 7" xfId="39499"/>
    <cellStyle name="Normal 6 5 3 4" xfId="4345"/>
    <cellStyle name="Normal 6 5 3 4 2" xfId="6087"/>
    <cellStyle name="Normal 6 5 3 4 3" xfId="18191"/>
    <cellStyle name="Normal 6 5 3 4 4" xfId="23234"/>
    <cellStyle name="Normal 6 5 3 4 5" xfId="28195"/>
    <cellStyle name="Normal 6 5 3 4 6" xfId="33053"/>
    <cellStyle name="Normal 6 5 3 4 7" xfId="37784"/>
    <cellStyle name="Normal 6 5 3 40" xfId="7817"/>
    <cellStyle name="Normal 6 5 3 40 2" xfId="14897"/>
    <cellStyle name="Normal 6 5 3 40 3" xfId="20014"/>
    <cellStyle name="Normal 6 5 3 40 4" xfId="25057"/>
    <cellStyle name="Normal 6 5 3 40 5" xfId="30018"/>
    <cellStyle name="Normal 6 5 3 40 6" xfId="34876"/>
    <cellStyle name="Normal 6 5 3 40 7" xfId="39607"/>
    <cellStyle name="Normal 6 5 3 41" xfId="7899"/>
    <cellStyle name="Normal 6 5 3 41 2" xfId="14979"/>
    <cellStyle name="Normal 6 5 3 41 3" xfId="20096"/>
    <cellStyle name="Normal 6 5 3 41 4" xfId="25139"/>
    <cellStyle name="Normal 6 5 3 41 5" xfId="30100"/>
    <cellStyle name="Normal 6 5 3 41 6" xfId="34958"/>
    <cellStyle name="Normal 6 5 3 41 7" xfId="39689"/>
    <cellStyle name="Normal 6 5 3 42" xfId="7664"/>
    <cellStyle name="Normal 6 5 3 42 2" xfId="14744"/>
    <cellStyle name="Normal 6 5 3 42 3" xfId="19861"/>
    <cellStyle name="Normal 6 5 3 42 4" xfId="24904"/>
    <cellStyle name="Normal 6 5 3 42 5" xfId="29865"/>
    <cellStyle name="Normal 6 5 3 42 6" xfId="34723"/>
    <cellStyle name="Normal 6 5 3 42 7" xfId="39454"/>
    <cellStyle name="Normal 6 5 3 43" xfId="7809"/>
    <cellStyle name="Normal 6 5 3 43 2" xfId="14889"/>
    <cellStyle name="Normal 6 5 3 43 3" xfId="20006"/>
    <cellStyle name="Normal 6 5 3 43 4" xfId="25049"/>
    <cellStyle name="Normal 6 5 3 43 5" xfId="30010"/>
    <cellStyle name="Normal 6 5 3 43 6" xfId="34868"/>
    <cellStyle name="Normal 6 5 3 43 7" xfId="39599"/>
    <cellStyle name="Normal 6 5 3 44" xfId="7679"/>
    <cellStyle name="Normal 6 5 3 44 2" xfId="14759"/>
    <cellStyle name="Normal 6 5 3 44 3" xfId="19876"/>
    <cellStyle name="Normal 6 5 3 44 4" xfId="24919"/>
    <cellStyle name="Normal 6 5 3 44 5" xfId="29880"/>
    <cellStyle name="Normal 6 5 3 44 6" xfId="34738"/>
    <cellStyle name="Normal 6 5 3 44 7" xfId="39469"/>
    <cellStyle name="Normal 6 5 3 45" xfId="7567"/>
    <cellStyle name="Normal 6 5 3 45 2" xfId="14647"/>
    <cellStyle name="Normal 6 5 3 45 3" xfId="19764"/>
    <cellStyle name="Normal 6 5 3 45 4" xfId="24807"/>
    <cellStyle name="Normal 6 5 3 45 5" xfId="29768"/>
    <cellStyle name="Normal 6 5 3 45 6" xfId="34626"/>
    <cellStyle name="Normal 6 5 3 45 7" xfId="39357"/>
    <cellStyle name="Normal 6 5 3 46" xfId="7714"/>
    <cellStyle name="Normal 6 5 3 46 2" xfId="14794"/>
    <cellStyle name="Normal 6 5 3 46 3" xfId="19911"/>
    <cellStyle name="Normal 6 5 3 46 4" xfId="24954"/>
    <cellStyle name="Normal 6 5 3 46 5" xfId="29915"/>
    <cellStyle name="Normal 6 5 3 46 6" xfId="34773"/>
    <cellStyle name="Normal 6 5 3 46 7" xfId="39504"/>
    <cellStyle name="Normal 6 5 3 47" xfId="7860"/>
    <cellStyle name="Normal 6 5 3 47 2" xfId="14940"/>
    <cellStyle name="Normal 6 5 3 47 3" xfId="20057"/>
    <cellStyle name="Normal 6 5 3 47 4" xfId="25100"/>
    <cellStyle name="Normal 6 5 3 47 5" xfId="30061"/>
    <cellStyle name="Normal 6 5 3 47 6" xfId="34919"/>
    <cellStyle name="Normal 6 5 3 47 7" xfId="39650"/>
    <cellStyle name="Normal 6 5 3 48" xfId="8644"/>
    <cellStyle name="Normal 6 5 3 48 2" xfId="15725"/>
    <cellStyle name="Normal 6 5 3 48 3" xfId="20842"/>
    <cellStyle name="Normal 6 5 3 48 4" xfId="25885"/>
    <cellStyle name="Normal 6 5 3 48 5" xfId="30846"/>
    <cellStyle name="Normal 6 5 3 48 6" xfId="35704"/>
    <cellStyle name="Normal 6 5 3 48 7" xfId="40435"/>
    <cellStyle name="Normal 6 5 3 49" xfId="8262"/>
    <cellStyle name="Normal 6 5 3 49 2" xfId="15343"/>
    <cellStyle name="Normal 6 5 3 49 3" xfId="20460"/>
    <cellStyle name="Normal 6 5 3 49 4" xfId="25503"/>
    <cellStyle name="Normal 6 5 3 49 5" xfId="30464"/>
    <cellStyle name="Normal 6 5 3 49 6" xfId="35322"/>
    <cellStyle name="Normal 6 5 3 49 7" xfId="40053"/>
    <cellStyle name="Normal 6 5 3 5" xfId="4426"/>
    <cellStyle name="Normal 6 5 3 5 2" xfId="6260"/>
    <cellStyle name="Normal 6 5 3 5 3" xfId="18364"/>
    <cellStyle name="Normal 6 5 3 5 4" xfId="23407"/>
    <cellStyle name="Normal 6 5 3 5 5" xfId="28368"/>
    <cellStyle name="Normal 6 5 3 5 6" xfId="33226"/>
    <cellStyle name="Normal 6 5 3 5 7" xfId="37957"/>
    <cellStyle name="Normal 6 5 3 50" xfId="8513"/>
    <cellStyle name="Normal 6 5 3 50 2" xfId="15594"/>
    <cellStyle name="Normal 6 5 3 50 3" xfId="20711"/>
    <cellStyle name="Normal 6 5 3 50 4" xfId="25754"/>
    <cellStyle name="Normal 6 5 3 50 5" xfId="30715"/>
    <cellStyle name="Normal 6 5 3 50 6" xfId="35573"/>
    <cellStyle name="Normal 6 5 3 50 7" xfId="40304"/>
    <cellStyle name="Normal 6 5 3 51" xfId="8681"/>
    <cellStyle name="Normal 6 5 3 51 2" xfId="15762"/>
    <cellStyle name="Normal 6 5 3 51 3" xfId="20879"/>
    <cellStyle name="Normal 6 5 3 51 4" xfId="25922"/>
    <cellStyle name="Normal 6 5 3 51 5" xfId="30883"/>
    <cellStyle name="Normal 6 5 3 51 6" xfId="35741"/>
    <cellStyle name="Normal 6 5 3 51 7" xfId="40472"/>
    <cellStyle name="Normal 6 5 3 52" xfId="8589"/>
    <cellStyle name="Normal 6 5 3 52 2" xfId="15670"/>
    <cellStyle name="Normal 6 5 3 52 3" xfId="20787"/>
    <cellStyle name="Normal 6 5 3 52 4" xfId="25830"/>
    <cellStyle name="Normal 6 5 3 52 5" xfId="30791"/>
    <cellStyle name="Normal 6 5 3 52 6" xfId="35649"/>
    <cellStyle name="Normal 6 5 3 52 7" xfId="40380"/>
    <cellStyle name="Normal 6 5 3 53" xfId="8489"/>
    <cellStyle name="Normal 6 5 3 53 2" xfId="15570"/>
    <cellStyle name="Normal 6 5 3 53 3" xfId="20687"/>
    <cellStyle name="Normal 6 5 3 53 4" xfId="25730"/>
    <cellStyle name="Normal 6 5 3 53 5" xfId="30691"/>
    <cellStyle name="Normal 6 5 3 53 6" xfId="35549"/>
    <cellStyle name="Normal 6 5 3 53 7" xfId="40280"/>
    <cellStyle name="Normal 6 5 3 54" xfId="8606"/>
    <cellStyle name="Normal 6 5 3 54 2" xfId="15687"/>
    <cellStyle name="Normal 6 5 3 54 3" xfId="20804"/>
    <cellStyle name="Normal 6 5 3 54 4" xfId="25847"/>
    <cellStyle name="Normal 6 5 3 54 5" xfId="30808"/>
    <cellStyle name="Normal 6 5 3 54 6" xfId="35666"/>
    <cellStyle name="Normal 6 5 3 54 7" xfId="40397"/>
    <cellStyle name="Normal 6 5 3 55" xfId="8394"/>
    <cellStyle name="Normal 6 5 3 55 2" xfId="15475"/>
    <cellStyle name="Normal 6 5 3 55 3" xfId="20592"/>
    <cellStyle name="Normal 6 5 3 55 4" xfId="25635"/>
    <cellStyle name="Normal 6 5 3 55 5" xfId="30596"/>
    <cellStyle name="Normal 6 5 3 55 6" xfId="35454"/>
    <cellStyle name="Normal 6 5 3 55 7" xfId="40185"/>
    <cellStyle name="Normal 6 5 3 56" xfId="8373"/>
    <cellStyle name="Normal 6 5 3 56 2" xfId="15454"/>
    <cellStyle name="Normal 6 5 3 56 3" xfId="20571"/>
    <cellStyle name="Normal 6 5 3 56 4" xfId="25614"/>
    <cellStyle name="Normal 6 5 3 56 5" xfId="30575"/>
    <cellStyle name="Normal 6 5 3 56 6" xfId="35433"/>
    <cellStyle name="Normal 6 5 3 56 7" xfId="40164"/>
    <cellStyle name="Normal 6 5 3 57" xfId="8912"/>
    <cellStyle name="Normal 6 5 3 57 2" xfId="15993"/>
    <cellStyle name="Normal 6 5 3 57 3" xfId="21110"/>
    <cellStyle name="Normal 6 5 3 57 4" xfId="26153"/>
    <cellStyle name="Normal 6 5 3 57 5" xfId="31114"/>
    <cellStyle name="Normal 6 5 3 57 6" xfId="35972"/>
    <cellStyle name="Normal 6 5 3 57 7" xfId="40703"/>
    <cellStyle name="Normal 6 5 3 58" xfId="8711"/>
    <cellStyle name="Normal 6 5 3 58 2" xfId="15792"/>
    <cellStyle name="Normal 6 5 3 58 3" xfId="20909"/>
    <cellStyle name="Normal 6 5 3 58 4" xfId="25952"/>
    <cellStyle name="Normal 6 5 3 58 5" xfId="30913"/>
    <cellStyle name="Normal 6 5 3 58 6" xfId="35771"/>
    <cellStyle name="Normal 6 5 3 58 7" xfId="40502"/>
    <cellStyle name="Normal 6 5 3 59" xfId="8972"/>
    <cellStyle name="Normal 6 5 3 59 2" xfId="16053"/>
    <cellStyle name="Normal 6 5 3 59 3" xfId="21170"/>
    <cellStyle name="Normal 6 5 3 59 4" xfId="26213"/>
    <cellStyle name="Normal 6 5 3 59 5" xfId="31174"/>
    <cellStyle name="Normal 6 5 3 59 6" xfId="36032"/>
    <cellStyle name="Normal 6 5 3 59 7" xfId="40763"/>
    <cellStyle name="Normal 6 5 3 6" xfId="4482"/>
    <cellStyle name="Normal 6 5 3 6 2" xfId="6177"/>
    <cellStyle name="Normal 6 5 3 6 3" xfId="18281"/>
    <cellStyle name="Normal 6 5 3 6 4" xfId="23324"/>
    <cellStyle name="Normal 6 5 3 6 5" xfId="28285"/>
    <cellStyle name="Normal 6 5 3 6 6" xfId="33143"/>
    <cellStyle name="Normal 6 5 3 6 7" xfId="37874"/>
    <cellStyle name="Normal 6 5 3 60" xfId="8466"/>
    <cellStyle name="Normal 6 5 3 60 2" xfId="15547"/>
    <cellStyle name="Normal 6 5 3 60 3" xfId="20664"/>
    <cellStyle name="Normal 6 5 3 60 4" xfId="25707"/>
    <cellStyle name="Normal 6 5 3 60 5" xfId="30668"/>
    <cellStyle name="Normal 6 5 3 60 6" xfId="35526"/>
    <cellStyle name="Normal 6 5 3 60 7" xfId="40257"/>
    <cellStyle name="Normal 6 5 3 61" xfId="8305"/>
    <cellStyle name="Normal 6 5 3 61 2" xfId="15386"/>
    <cellStyle name="Normal 6 5 3 61 3" xfId="20503"/>
    <cellStyle name="Normal 6 5 3 61 4" xfId="25546"/>
    <cellStyle name="Normal 6 5 3 61 5" xfId="30507"/>
    <cellStyle name="Normal 6 5 3 61 6" xfId="35365"/>
    <cellStyle name="Normal 6 5 3 61 7" xfId="40096"/>
    <cellStyle name="Normal 6 5 3 62" xfId="8302"/>
    <cellStyle name="Normal 6 5 3 62 2" xfId="15383"/>
    <cellStyle name="Normal 6 5 3 62 3" xfId="20500"/>
    <cellStyle name="Normal 6 5 3 62 4" xfId="25543"/>
    <cellStyle name="Normal 6 5 3 62 5" xfId="30504"/>
    <cellStyle name="Normal 6 5 3 62 6" xfId="35362"/>
    <cellStyle name="Normal 6 5 3 62 7" xfId="40093"/>
    <cellStyle name="Normal 6 5 3 63" xfId="9403"/>
    <cellStyle name="Normal 6 5 3 63 2" xfId="16484"/>
    <cellStyle name="Normal 6 5 3 63 3" xfId="21601"/>
    <cellStyle name="Normal 6 5 3 63 4" xfId="26644"/>
    <cellStyle name="Normal 6 5 3 63 5" xfId="31605"/>
    <cellStyle name="Normal 6 5 3 63 6" xfId="36463"/>
    <cellStyle name="Normal 6 5 3 63 7" xfId="41194"/>
    <cellStyle name="Normal 6 5 3 64" xfId="9082"/>
    <cellStyle name="Normal 6 5 3 64 2" xfId="16163"/>
    <cellStyle name="Normal 6 5 3 64 3" xfId="21280"/>
    <cellStyle name="Normal 6 5 3 64 4" xfId="26323"/>
    <cellStyle name="Normal 6 5 3 64 5" xfId="31284"/>
    <cellStyle name="Normal 6 5 3 64 6" xfId="36142"/>
    <cellStyle name="Normal 6 5 3 64 7" xfId="40873"/>
    <cellStyle name="Normal 6 5 3 65" xfId="9291"/>
    <cellStyle name="Normal 6 5 3 65 2" xfId="16372"/>
    <cellStyle name="Normal 6 5 3 65 3" xfId="21489"/>
    <cellStyle name="Normal 6 5 3 65 4" xfId="26532"/>
    <cellStyle name="Normal 6 5 3 65 5" xfId="31493"/>
    <cellStyle name="Normal 6 5 3 65 6" xfId="36351"/>
    <cellStyle name="Normal 6 5 3 65 7" xfId="41082"/>
    <cellStyle name="Normal 6 5 3 66" xfId="9430"/>
    <cellStyle name="Normal 6 5 3 66 2" xfId="16511"/>
    <cellStyle name="Normal 6 5 3 66 3" xfId="21628"/>
    <cellStyle name="Normal 6 5 3 66 4" xfId="26671"/>
    <cellStyle name="Normal 6 5 3 66 5" xfId="31632"/>
    <cellStyle name="Normal 6 5 3 66 6" xfId="36490"/>
    <cellStyle name="Normal 6 5 3 66 7" xfId="41221"/>
    <cellStyle name="Normal 6 5 3 67" xfId="9361"/>
    <cellStyle name="Normal 6 5 3 67 2" xfId="16442"/>
    <cellStyle name="Normal 6 5 3 67 3" xfId="21559"/>
    <cellStyle name="Normal 6 5 3 67 4" xfId="26602"/>
    <cellStyle name="Normal 6 5 3 67 5" xfId="31563"/>
    <cellStyle name="Normal 6 5 3 67 6" xfId="36421"/>
    <cellStyle name="Normal 6 5 3 67 7" xfId="41152"/>
    <cellStyle name="Normal 6 5 3 68" xfId="9273"/>
    <cellStyle name="Normal 6 5 3 68 2" xfId="16354"/>
    <cellStyle name="Normal 6 5 3 68 3" xfId="21471"/>
    <cellStyle name="Normal 6 5 3 68 4" xfId="26514"/>
    <cellStyle name="Normal 6 5 3 68 5" xfId="31475"/>
    <cellStyle name="Normal 6 5 3 68 6" xfId="36333"/>
    <cellStyle name="Normal 6 5 3 68 7" xfId="41064"/>
    <cellStyle name="Normal 6 5 3 69" xfId="9371"/>
    <cellStyle name="Normal 6 5 3 69 2" xfId="16452"/>
    <cellStyle name="Normal 6 5 3 69 3" xfId="21569"/>
    <cellStyle name="Normal 6 5 3 69 4" xfId="26612"/>
    <cellStyle name="Normal 6 5 3 69 5" xfId="31573"/>
    <cellStyle name="Normal 6 5 3 69 6" xfId="36431"/>
    <cellStyle name="Normal 6 5 3 69 7" xfId="41162"/>
    <cellStyle name="Normal 6 5 3 7" xfId="4591"/>
    <cellStyle name="Normal 6 5 3 7 2" xfId="6067"/>
    <cellStyle name="Normal 6 5 3 7 3" xfId="18171"/>
    <cellStyle name="Normal 6 5 3 7 4" xfId="23214"/>
    <cellStyle name="Normal 6 5 3 7 5" xfId="28175"/>
    <cellStyle name="Normal 6 5 3 7 6" xfId="33033"/>
    <cellStyle name="Normal 6 5 3 7 7" xfId="37764"/>
    <cellStyle name="Normal 6 5 3 70" xfId="9447"/>
    <cellStyle name="Normal 6 5 3 70 2" xfId="16528"/>
    <cellStyle name="Normal 6 5 3 70 3" xfId="21645"/>
    <cellStyle name="Normal 6 5 3 70 4" xfId="26688"/>
    <cellStyle name="Normal 6 5 3 70 5" xfId="31649"/>
    <cellStyle name="Normal 6 5 3 70 6" xfId="36507"/>
    <cellStyle name="Normal 6 5 3 70 7" xfId="41238"/>
    <cellStyle name="Normal 6 5 3 71" xfId="9235"/>
    <cellStyle name="Normal 6 5 3 71 2" xfId="16316"/>
    <cellStyle name="Normal 6 5 3 71 3" xfId="21433"/>
    <cellStyle name="Normal 6 5 3 71 4" xfId="26476"/>
    <cellStyle name="Normal 6 5 3 71 5" xfId="31437"/>
    <cellStyle name="Normal 6 5 3 71 6" xfId="36295"/>
    <cellStyle name="Normal 6 5 3 71 7" xfId="41026"/>
    <cellStyle name="Normal 6 5 3 72" xfId="9364"/>
    <cellStyle name="Normal 6 5 3 72 2" xfId="16445"/>
    <cellStyle name="Normal 6 5 3 72 3" xfId="21562"/>
    <cellStyle name="Normal 6 5 3 72 4" xfId="26605"/>
    <cellStyle name="Normal 6 5 3 72 5" xfId="31566"/>
    <cellStyle name="Normal 6 5 3 72 6" xfId="36424"/>
    <cellStyle name="Normal 6 5 3 72 7" xfId="41155"/>
    <cellStyle name="Normal 6 5 3 73" xfId="9249"/>
    <cellStyle name="Normal 6 5 3 73 2" xfId="16330"/>
    <cellStyle name="Normal 6 5 3 73 3" xfId="21447"/>
    <cellStyle name="Normal 6 5 3 73 4" xfId="26490"/>
    <cellStyle name="Normal 6 5 3 73 5" xfId="31451"/>
    <cellStyle name="Normal 6 5 3 73 6" xfId="36309"/>
    <cellStyle name="Normal 6 5 3 73 7" xfId="41040"/>
    <cellStyle name="Normal 6 5 3 74" xfId="9153"/>
    <cellStyle name="Normal 6 5 3 74 2" xfId="16234"/>
    <cellStyle name="Normal 6 5 3 74 3" xfId="21351"/>
    <cellStyle name="Normal 6 5 3 74 4" xfId="26394"/>
    <cellStyle name="Normal 6 5 3 74 5" xfId="31355"/>
    <cellStyle name="Normal 6 5 3 74 6" xfId="36213"/>
    <cellStyle name="Normal 6 5 3 74 7" xfId="40944"/>
    <cellStyle name="Normal 6 5 3 75" xfId="9898"/>
    <cellStyle name="Normal 6 5 3 75 2" xfId="16979"/>
    <cellStyle name="Normal 6 5 3 75 3" xfId="22096"/>
    <cellStyle name="Normal 6 5 3 75 4" xfId="27139"/>
    <cellStyle name="Normal 6 5 3 75 5" xfId="32100"/>
    <cellStyle name="Normal 6 5 3 75 6" xfId="36958"/>
    <cellStyle name="Normal 6 5 3 75 7" xfId="41689"/>
    <cellStyle name="Normal 6 5 3 76" xfId="9728"/>
    <cellStyle name="Normal 6 5 3 76 2" xfId="16809"/>
    <cellStyle name="Normal 6 5 3 76 3" xfId="21926"/>
    <cellStyle name="Normal 6 5 3 76 4" xfId="26969"/>
    <cellStyle name="Normal 6 5 3 76 5" xfId="31930"/>
    <cellStyle name="Normal 6 5 3 76 6" xfId="36788"/>
    <cellStyle name="Normal 6 5 3 76 7" xfId="41519"/>
    <cellStyle name="Normal 6 5 3 77" xfId="9837"/>
    <cellStyle name="Normal 6 5 3 77 2" xfId="16918"/>
    <cellStyle name="Normal 6 5 3 77 3" xfId="22035"/>
    <cellStyle name="Normal 6 5 3 77 4" xfId="27078"/>
    <cellStyle name="Normal 6 5 3 77 5" xfId="32039"/>
    <cellStyle name="Normal 6 5 3 77 6" xfId="36897"/>
    <cellStyle name="Normal 6 5 3 77 7" xfId="41628"/>
    <cellStyle name="Normal 6 5 3 78" xfId="9915"/>
    <cellStyle name="Normal 6 5 3 78 2" xfId="16996"/>
    <cellStyle name="Normal 6 5 3 78 3" xfId="22113"/>
    <cellStyle name="Normal 6 5 3 78 4" xfId="27156"/>
    <cellStyle name="Normal 6 5 3 78 5" xfId="32117"/>
    <cellStyle name="Normal 6 5 3 78 6" xfId="36975"/>
    <cellStyle name="Normal 6 5 3 78 7" xfId="41706"/>
    <cellStyle name="Normal 6 5 3 79" xfId="9868"/>
    <cellStyle name="Normal 6 5 3 79 2" xfId="16949"/>
    <cellStyle name="Normal 6 5 3 79 3" xfId="22066"/>
    <cellStyle name="Normal 6 5 3 79 4" xfId="27109"/>
    <cellStyle name="Normal 6 5 3 79 5" xfId="32070"/>
    <cellStyle name="Normal 6 5 3 79 6" xfId="36928"/>
    <cellStyle name="Normal 6 5 3 79 7" xfId="41659"/>
    <cellStyle name="Normal 6 5 3 8" xfId="4498"/>
    <cellStyle name="Normal 6 5 3 8 2" xfId="6188"/>
    <cellStyle name="Normal 6 5 3 8 3" xfId="18292"/>
    <cellStyle name="Normal 6 5 3 8 4" xfId="23335"/>
    <cellStyle name="Normal 6 5 3 8 5" xfId="28296"/>
    <cellStyle name="Normal 6 5 3 8 6" xfId="33154"/>
    <cellStyle name="Normal 6 5 3 8 7" xfId="37885"/>
    <cellStyle name="Normal 6 5 3 80" xfId="9822"/>
    <cellStyle name="Normal 6 5 3 80 2" xfId="16903"/>
    <cellStyle name="Normal 6 5 3 80 3" xfId="22020"/>
    <cellStyle name="Normal 6 5 3 80 4" xfId="27063"/>
    <cellStyle name="Normal 6 5 3 80 5" xfId="32024"/>
    <cellStyle name="Normal 6 5 3 80 6" xfId="36882"/>
    <cellStyle name="Normal 6 5 3 80 7" xfId="41613"/>
    <cellStyle name="Normal 6 5 3 81" xfId="10228"/>
    <cellStyle name="Normal 6 5 3 81 2" xfId="17309"/>
    <cellStyle name="Normal 6 5 3 81 3" xfId="22426"/>
    <cellStyle name="Normal 6 5 3 81 4" xfId="27469"/>
    <cellStyle name="Normal 6 5 3 81 5" xfId="32430"/>
    <cellStyle name="Normal 6 5 3 81 6" xfId="37288"/>
    <cellStyle name="Normal 6 5 3 81 7" xfId="42019"/>
    <cellStyle name="Normal 6 5 3 82" xfId="10058"/>
    <cellStyle name="Normal 6 5 3 82 2" xfId="17139"/>
    <cellStyle name="Normal 6 5 3 82 3" xfId="22256"/>
    <cellStyle name="Normal 6 5 3 82 4" xfId="27299"/>
    <cellStyle name="Normal 6 5 3 82 5" xfId="32260"/>
    <cellStyle name="Normal 6 5 3 82 6" xfId="37118"/>
    <cellStyle name="Normal 6 5 3 82 7" xfId="41849"/>
    <cellStyle name="Normal 6 5 3 83" xfId="10167"/>
    <cellStyle name="Normal 6 5 3 83 2" xfId="17248"/>
    <cellStyle name="Normal 6 5 3 83 3" xfId="22365"/>
    <cellStyle name="Normal 6 5 3 83 4" xfId="27408"/>
    <cellStyle name="Normal 6 5 3 83 5" xfId="32369"/>
    <cellStyle name="Normal 6 5 3 83 6" xfId="37227"/>
    <cellStyle name="Normal 6 5 3 83 7" xfId="41958"/>
    <cellStyle name="Normal 6 5 3 84" xfId="10245"/>
    <cellStyle name="Normal 6 5 3 84 2" xfId="17326"/>
    <cellStyle name="Normal 6 5 3 84 3" xfId="22443"/>
    <cellStyle name="Normal 6 5 3 84 4" xfId="27486"/>
    <cellStyle name="Normal 6 5 3 84 5" xfId="32447"/>
    <cellStyle name="Normal 6 5 3 84 6" xfId="37305"/>
    <cellStyle name="Normal 6 5 3 84 7" xfId="42036"/>
    <cellStyle name="Normal 6 5 3 85" xfId="10198"/>
    <cellStyle name="Normal 6 5 3 85 2" xfId="17279"/>
    <cellStyle name="Normal 6 5 3 85 3" xfId="22396"/>
    <cellStyle name="Normal 6 5 3 85 4" xfId="27439"/>
    <cellStyle name="Normal 6 5 3 85 5" xfId="32400"/>
    <cellStyle name="Normal 6 5 3 85 6" xfId="37258"/>
    <cellStyle name="Normal 6 5 3 85 7" xfId="41989"/>
    <cellStyle name="Normal 6 5 3 86" xfId="10152"/>
    <cellStyle name="Normal 6 5 3 86 2" xfId="17233"/>
    <cellStyle name="Normal 6 5 3 86 3" xfId="22350"/>
    <cellStyle name="Normal 6 5 3 86 4" xfId="27393"/>
    <cellStyle name="Normal 6 5 3 86 5" xfId="32354"/>
    <cellStyle name="Normal 6 5 3 86 6" xfId="37212"/>
    <cellStyle name="Normal 6 5 3 86 7" xfId="41943"/>
    <cellStyle name="Normal 6 5 3 87" xfId="13063"/>
    <cellStyle name="Normal 6 5 3 88" xfId="11837"/>
    <cellStyle name="Normal 6 5 3 89" xfId="13293"/>
    <cellStyle name="Normal 6 5 3 9" xfId="4629"/>
    <cellStyle name="Normal 6 5 3 9 2" xfId="6278"/>
    <cellStyle name="Normal 6 5 3 9 3" xfId="18383"/>
    <cellStyle name="Normal 6 5 3 9 4" xfId="23426"/>
    <cellStyle name="Normal 6 5 3 9 5" xfId="28387"/>
    <cellStyle name="Normal 6 5 3 9 6" xfId="33245"/>
    <cellStyle name="Normal 6 5 3 9 7" xfId="37976"/>
    <cellStyle name="Normal 6 5 3 90" xfId="12166"/>
    <cellStyle name="Normal 6 5 3 91" xfId="12052"/>
    <cellStyle name="Normal 6 5 3 92" xfId="14138"/>
    <cellStyle name="Normal 6 5 30" xfId="5761"/>
    <cellStyle name="Normal 6 5 30 2" xfId="14416"/>
    <cellStyle name="Normal 6 5 30 3" xfId="19421"/>
    <cellStyle name="Normal 6 5 30 4" xfId="24464"/>
    <cellStyle name="Normal 6 5 30 5" xfId="29425"/>
    <cellStyle name="Normal 6 5 30 6" xfId="34283"/>
    <cellStyle name="Normal 6 5 30 7" xfId="39014"/>
    <cellStyle name="Normal 6 5 31" xfId="7266"/>
    <cellStyle name="Normal 6 5 31 2" xfId="14419"/>
    <cellStyle name="Normal 6 5 31 3" xfId="19430"/>
    <cellStyle name="Normal 6 5 31 4" xfId="24473"/>
    <cellStyle name="Normal 6 5 31 5" xfId="29434"/>
    <cellStyle name="Normal 6 5 31 6" xfId="34292"/>
    <cellStyle name="Normal 6 5 31 7" xfId="39023"/>
    <cellStyle name="Normal 6 5 32" xfId="7322"/>
    <cellStyle name="Normal 6 5 32 2" xfId="14452"/>
    <cellStyle name="Normal 6 5 32 3" xfId="19493"/>
    <cellStyle name="Normal 6 5 32 4" xfId="24536"/>
    <cellStyle name="Normal 6 5 32 5" xfId="29497"/>
    <cellStyle name="Normal 6 5 32 6" xfId="34355"/>
    <cellStyle name="Normal 6 5 32 7" xfId="39086"/>
    <cellStyle name="Normal 6 5 33" xfId="7100"/>
    <cellStyle name="Normal 6 5 33 2" xfId="14344"/>
    <cellStyle name="Normal 6 5 33 3" xfId="19246"/>
    <cellStyle name="Normal 6 5 33 4" xfId="24289"/>
    <cellStyle name="Normal 6 5 33 5" xfId="29250"/>
    <cellStyle name="Normal 6 5 33 6" xfId="34108"/>
    <cellStyle name="Normal 6 5 33 7" xfId="38839"/>
    <cellStyle name="Normal 6 5 34" xfId="6971"/>
    <cellStyle name="Normal 6 5 34 2" xfId="14271"/>
    <cellStyle name="Normal 6 5 34 3" xfId="19103"/>
    <cellStyle name="Normal 6 5 34 4" xfId="24146"/>
    <cellStyle name="Normal 6 5 34 5" xfId="29107"/>
    <cellStyle name="Normal 6 5 34 6" xfId="33965"/>
    <cellStyle name="Normal 6 5 34 7" xfId="38696"/>
    <cellStyle name="Normal 6 5 35" xfId="7218"/>
    <cellStyle name="Normal 6 5 35 2" xfId="14395"/>
    <cellStyle name="Normal 6 5 35 3" xfId="19376"/>
    <cellStyle name="Normal 6 5 35 4" xfId="24419"/>
    <cellStyle name="Normal 6 5 35 5" xfId="29380"/>
    <cellStyle name="Normal 6 5 35 6" xfId="34238"/>
    <cellStyle name="Normal 6 5 35 7" xfId="38969"/>
    <cellStyle name="Normal 6 5 36" xfId="7653"/>
    <cellStyle name="Normal 6 5 36 2" xfId="14733"/>
    <cellStyle name="Normal 6 5 36 3" xfId="19850"/>
    <cellStyle name="Normal 6 5 36 4" xfId="24893"/>
    <cellStyle name="Normal 6 5 36 5" xfId="29854"/>
    <cellStyle name="Normal 6 5 36 6" xfId="34712"/>
    <cellStyle name="Normal 6 5 36 7" xfId="39443"/>
    <cellStyle name="Normal 6 5 37" xfId="8085"/>
    <cellStyle name="Normal 6 5 37 2" xfId="15165"/>
    <cellStyle name="Normal 6 5 37 3" xfId="20282"/>
    <cellStyle name="Normal 6 5 37 4" xfId="25325"/>
    <cellStyle name="Normal 6 5 37 5" xfId="30286"/>
    <cellStyle name="Normal 6 5 37 6" xfId="35144"/>
    <cellStyle name="Normal 6 5 37 7" xfId="39875"/>
    <cellStyle name="Normal 6 5 38" xfId="7801"/>
    <cellStyle name="Normal 6 5 38 2" xfId="14881"/>
    <cellStyle name="Normal 6 5 38 3" xfId="19998"/>
    <cellStyle name="Normal 6 5 38 4" xfId="25041"/>
    <cellStyle name="Normal 6 5 38 5" xfId="30002"/>
    <cellStyle name="Normal 6 5 38 6" xfId="34860"/>
    <cellStyle name="Normal 6 5 38 7" xfId="39591"/>
    <cellStyle name="Normal 6 5 39" xfId="8080"/>
    <cellStyle name="Normal 6 5 39 2" xfId="15160"/>
    <cellStyle name="Normal 6 5 39 3" xfId="20277"/>
    <cellStyle name="Normal 6 5 39 4" xfId="25320"/>
    <cellStyle name="Normal 6 5 39 5" xfId="30281"/>
    <cellStyle name="Normal 6 5 39 6" xfId="35139"/>
    <cellStyle name="Normal 6 5 39 7" xfId="39870"/>
    <cellStyle name="Normal 6 5 4" xfId="4251"/>
    <cellStyle name="Normal 6 5 4 2" xfId="6005"/>
    <cellStyle name="Normal 6 5 4 3" xfId="18108"/>
    <cellStyle name="Normal 6 5 4 4" xfId="23151"/>
    <cellStyle name="Normal 6 5 4 5" xfId="28112"/>
    <cellStyle name="Normal 6 5 4 6" xfId="32970"/>
    <cellStyle name="Normal 6 5 4 7" xfId="37701"/>
    <cellStyle name="Normal 6 5 40" xfId="8083"/>
    <cellStyle name="Normal 6 5 40 2" xfId="15163"/>
    <cellStyle name="Normal 6 5 40 3" xfId="20280"/>
    <cellStyle name="Normal 6 5 40 4" xfId="25323"/>
    <cellStyle name="Normal 6 5 40 5" xfId="30284"/>
    <cellStyle name="Normal 6 5 40 6" xfId="35142"/>
    <cellStyle name="Normal 6 5 40 7" xfId="39873"/>
    <cellStyle name="Normal 6 5 41" xfId="7747"/>
    <cellStyle name="Normal 6 5 41 2" xfId="14827"/>
    <cellStyle name="Normal 6 5 41 3" xfId="19944"/>
    <cellStyle name="Normal 6 5 41 4" xfId="24987"/>
    <cellStyle name="Normal 6 5 41 5" xfId="29948"/>
    <cellStyle name="Normal 6 5 41 6" xfId="34806"/>
    <cellStyle name="Normal 6 5 41 7" xfId="39537"/>
    <cellStyle name="Normal 6 5 42" xfId="7942"/>
    <cellStyle name="Normal 6 5 42 2" xfId="15022"/>
    <cellStyle name="Normal 6 5 42 3" xfId="20139"/>
    <cellStyle name="Normal 6 5 42 4" xfId="25182"/>
    <cellStyle name="Normal 6 5 42 5" xfId="30143"/>
    <cellStyle name="Normal 6 5 42 6" xfId="35001"/>
    <cellStyle name="Normal 6 5 42 7" xfId="39732"/>
    <cellStyle name="Normal 6 5 43" xfId="7953"/>
    <cellStyle name="Normal 6 5 43 2" xfId="15033"/>
    <cellStyle name="Normal 6 5 43 3" xfId="20150"/>
    <cellStyle name="Normal 6 5 43 4" xfId="25193"/>
    <cellStyle name="Normal 6 5 43 5" xfId="30154"/>
    <cellStyle name="Normal 6 5 43 6" xfId="35012"/>
    <cellStyle name="Normal 6 5 43 7" xfId="39743"/>
    <cellStyle name="Normal 6 5 44" xfId="8032"/>
    <cellStyle name="Normal 6 5 44 2" xfId="15112"/>
    <cellStyle name="Normal 6 5 44 3" xfId="20229"/>
    <cellStyle name="Normal 6 5 44 4" xfId="25272"/>
    <cellStyle name="Normal 6 5 44 5" xfId="30233"/>
    <cellStyle name="Normal 6 5 44 6" xfId="35091"/>
    <cellStyle name="Normal 6 5 44 7" xfId="39822"/>
    <cellStyle name="Normal 6 5 45" xfId="7743"/>
    <cellStyle name="Normal 6 5 45 2" xfId="14823"/>
    <cellStyle name="Normal 6 5 45 3" xfId="19940"/>
    <cellStyle name="Normal 6 5 45 4" xfId="24983"/>
    <cellStyle name="Normal 6 5 45 5" xfId="29944"/>
    <cellStyle name="Normal 6 5 45 6" xfId="34802"/>
    <cellStyle name="Normal 6 5 45 7" xfId="39533"/>
    <cellStyle name="Normal 6 5 46" xfId="7582"/>
    <cellStyle name="Normal 6 5 46 2" xfId="14662"/>
    <cellStyle name="Normal 6 5 46 3" xfId="19779"/>
    <cellStyle name="Normal 6 5 46 4" xfId="24822"/>
    <cellStyle name="Normal 6 5 46 5" xfId="29783"/>
    <cellStyle name="Normal 6 5 46 6" xfId="34641"/>
    <cellStyle name="Normal 6 5 46 7" xfId="39372"/>
    <cellStyle name="Normal 6 5 47" xfId="7887"/>
    <cellStyle name="Normal 6 5 47 2" xfId="14967"/>
    <cellStyle name="Normal 6 5 47 3" xfId="20084"/>
    <cellStyle name="Normal 6 5 47 4" xfId="25127"/>
    <cellStyle name="Normal 6 5 47 5" xfId="30088"/>
    <cellStyle name="Normal 6 5 47 6" xfId="34946"/>
    <cellStyle name="Normal 6 5 47 7" xfId="39677"/>
    <cellStyle name="Normal 6 5 48" xfId="7691"/>
    <cellStyle name="Normal 6 5 48 2" xfId="14771"/>
    <cellStyle name="Normal 6 5 48 3" xfId="19888"/>
    <cellStyle name="Normal 6 5 48 4" xfId="24931"/>
    <cellStyle name="Normal 6 5 48 5" xfId="29892"/>
    <cellStyle name="Normal 6 5 48 6" xfId="34750"/>
    <cellStyle name="Normal 6 5 48 7" xfId="39481"/>
    <cellStyle name="Normal 6 5 49" xfId="7634"/>
    <cellStyle name="Normal 6 5 49 2" xfId="14714"/>
    <cellStyle name="Normal 6 5 49 3" xfId="19831"/>
    <cellStyle name="Normal 6 5 49 4" xfId="24874"/>
    <cellStyle name="Normal 6 5 49 5" xfId="29835"/>
    <cellStyle name="Normal 6 5 49 6" xfId="34693"/>
    <cellStyle name="Normal 6 5 49 7" xfId="39424"/>
    <cellStyle name="Normal 6 5 5" xfId="4350"/>
    <cellStyle name="Normal 6 5 5 2" xfId="6486"/>
    <cellStyle name="Normal 6 5 5 3" xfId="18596"/>
    <cellStyle name="Normal 6 5 5 4" xfId="23639"/>
    <cellStyle name="Normal 6 5 5 5" xfId="28600"/>
    <cellStyle name="Normal 6 5 5 6" xfId="33458"/>
    <cellStyle name="Normal 6 5 5 7" xfId="38189"/>
    <cellStyle name="Normal 6 5 50" xfId="8428"/>
    <cellStyle name="Normal 6 5 50 2" xfId="15509"/>
    <cellStyle name="Normal 6 5 50 3" xfId="20626"/>
    <cellStyle name="Normal 6 5 50 4" xfId="25669"/>
    <cellStyle name="Normal 6 5 50 5" xfId="30630"/>
    <cellStyle name="Normal 6 5 50 6" xfId="35488"/>
    <cellStyle name="Normal 6 5 50 7" xfId="40219"/>
    <cellStyle name="Normal 6 5 51" xfId="8880"/>
    <cellStyle name="Normal 6 5 51 2" xfId="15961"/>
    <cellStyle name="Normal 6 5 51 3" xfId="21078"/>
    <cellStyle name="Normal 6 5 51 4" xfId="26121"/>
    <cellStyle name="Normal 6 5 51 5" xfId="31082"/>
    <cellStyle name="Normal 6 5 51 6" xfId="35940"/>
    <cellStyle name="Normal 6 5 51 7" xfId="40671"/>
    <cellStyle name="Normal 6 5 52" xfId="8583"/>
    <cellStyle name="Normal 6 5 52 2" xfId="15664"/>
    <cellStyle name="Normal 6 5 52 3" xfId="20781"/>
    <cellStyle name="Normal 6 5 52 4" xfId="25824"/>
    <cellStyle name="Normal 6 5 52 5" xfId="30785"/>
    <cellStyle name="Normal 6 5 52 6" xfId="35643"/>
    <cellStyle name="Normal 6 5 52 7" xfId="40374"/>
    <cellStyle name="Normal 6 5 53" xfId="8877"/>
    <cellStyle name="Normal 6 5 53 2" xfId="15958"/>
    <cellStyle name="Normal 6 5 53 3" xfId="21075"/>
    <cellStyle name="Normal 6 5 53 4" xfId="26118"/>
    <cellStyle name="Normal 6 5 53 5" xfId="31079"/>
    <cellStyle name="Normal 6 5 53 6" xfId="35937"/>
    <cellStyle name="Normal 6 5 53 7" xfId="40668"/>
    <cellStyle name="Normal 6 5 54" xfId="8879"/>
    <cellStyle name="Normal 6 5 54 2" xfId="15960"/>
    <cellStyle name="Normal 6 5 54 3" xfId="21077"/>
    <cellStyle name="Normal 6 5 54 4" xfId="26120"/>
    <cellStyle name="Normal 6 5 54 5" xfId="31081"/>
    <cellStyle name="Normal 6 5 54 6" xfId="35939"/>
    <cellStyle name="Normal 6 5 54 7" xfId="40670"/>
    <cellStyle name="Normal 6 5 55" xfId="8534"/>
    <cellStyle name="Normal 6 5 55 2" xfId="15615"/>
    <cellStyle name="Normal 6 5 55 3" xfId="20732"/>
    <cellStyle name="Normal 6 5 55 4" xfId="25775"/>
    <cellStyle name="Normal 6 5 55 5" xfId="30736"/>
    <cellStyle name="Normal 6 5 55 6" xfId="35594"/>
    <cellStyle name="Normal 6 5 55 7" xfId="40325"/>
    <cellStyle name="Normal 6 5 56" xfId="8736"/>
    <cellStyle name="Normal 6 5 56 2" xfId="15817"/>
    <cellStyle name="Normal 6 5 56 3" xfId="20934"/>
    <cellStyle name="Normal 6 5 56 4" xfId="25977"/>
    <cellStyle name="Normal 6 5 56 5" xfId="30938"/>
    <cellStyle name="Normal 6 5 56 6" xfId="35796"/>
    <cellStyle name="Normal 6 5 56 7" xfId="40527"/>
    <cellStyle name="Normal 6 5 57" xfId="8925"/>
    <cellStyle name="Normal 6 5 57 2" xfId="16006"/>
    <cellStyle name="Normal 6 5 57 3" xfId="21123"/>
    <cellStyle name="Normal 6 5 57 4" xfId="26166"/>
    <cellStyle name="Normal 6 5 57 5" xfId="31127"/>
    <cellStyle name="Normal 6 5 57 6" xfId="35985"/>
    <cellStyle name="Normal 6 5 57 7" xfId="40716"/>
    <cellStyle name="Normal 6 5 58" xfId="8380"/>
    <cellStyle name="Normal 6 5 58 2" xfId="15461"/>
    <cellStyle name="Normal 6 5 58 3" xfId="20578"/>
    <cellStyle name="Normal 6 5 58 4" xfId="25621"/>
    <cellStyle name="Normal 6 5 58 5" xfId="30582"/>
    <cellStyle name="Normal 6 5 58 6" xfId="35440"/>
    <cellStyle name="Normal 6 5 58 7" xfId="40171"/>
    <cellStyle name="Normal 6 5 59" xfId="8746"/>
    <cellStyle name="Normal 6 5 59 2" xfId="15827"/>
    <cellStyle name="Normal 6 5 59 3" xfId="20944"/>
    <cellStyle name="Normal 6 5 59 4" xfId="25987"/>
    <cellStyle name="Normal 6 5 59 5" xfId="30948"/>
    <cellStyle name="Normal 6 5 59 6" xfId="35806"/>
    <cellStyle name="Normal 6 5 59 7" xfId="40537"/>
    <cellStyle name="Normal 6 5 6" xfId="4351"/>
    <cellStyle name="Normal 6 5 6 2" xfId="6171"/>
    <cellStyle name="Normal 6 5 6 3" xfId="18275"/>
    <cellStyle name="Normal 6 5 6 4" xfId="23318"/>
    <cellStyle name="Normal 6 5 6 5" xfId="28279"/>
    <cellStyle name="Normal 6 5 6 6" xfId="33137"/>
    <cellStyle name="Normal 6 5 6 7" xfId="37868"/>
    <cellStyle name="Normal 6 5 60" xfId="8845"/>
    <cellStyle name="Normal 6 5 60 2" xfId="15926"/>
    <cellStyle name="Normal 6 5 60 3" xfId="21043"/>
    <cellStyle name="Normal 6 5 60 4" xfId="26086"/>
    <cellStyle name="Normal 6 5 60 5" xfId="31047"/>
    <cellStyle name="Normal 6 5 60 6" xfId="35905"/>
    <cellStyle name="Normal 6 5 60 7" xfId="40636"/>
    <cellStyle name="Normal 6 5 61" xfId="8930"/>
    <cellStyle name="Normal 6 5 61 2" xfId="16011"/>
    <cellStyle name="Normal 6 5 61 3" xfId="21128"/>
    <cellStyle name="Normal 6 5 61 4" xfId="26171"/>
    <cellStyle name="Normal 6 5 61 5" xfId="31132"/>
    <cellStyle name="Normal 6 5 61 6" xfId="35990"/>
    <cellStyle name="Normal 6 5 61 7" xfId="40721"/>
    <cellStyle name="Normal 6 5 62" xfId="8465"/>
    <cellStyle name="Normal 6 5 62 2" xfId="15546"/>
    <cellStyle name="Normal 6 5 62 3" xfId="20663"/>
    <cellStyle name="Normal 6 5 62 4" xfId="25706"/>
    <cellStyle name="Normal 6 5 62 5" xfId="30667"/>
    <cellStyle name="Normal 6 5 62 6" xfId="35525"/>
    <cellStyle name="Normal 6 5 62 7" xfId="40256"/>
    <cellStyle name="Normal 6 5 63" xfId="8533"/>
    <cellStyle name="Normal 6 5 63 2" xfId="15614"/>
    <cellStyle name="Normal 6 5 63 3" xfId="20731"/>
    <cellStyle name="Normal 6 5 63 4" xfId="25774"/>
    <cellStyle name="Normal 6 5 63 5" xfId="30735"/>
    <cellStyle name="Normal 6 5 63 6" xfId="35593"/>
    <cellStyle name="Normal 6 5 63 7" xfId="40324"/>
    <cellStyle name="Normal 6 5 64" xfId="8655"/>
    <cellStyle name="Normal 6 5 64 2" xfId="15736"/>
    <cellStyle name="Normal 6 5 64 3" xfId="20853"/>
    <cellStyle name="Normal 6 5 64 4" xfId="25896"/>
    <cellStyle name="Normal 6 5 64 5" xfId="30857"/>
    <cellStyle name="Normal 6 5 64 6" xfId="35715"/>
    <cellStyle name="Normal 6 5 64 7" xfId="40446"/>
    <cellStyle name="Normal 6 5 65" xfId="9225"/>
    <cellStyle name="Normal 6 5 65 2" xfId="16306"/>
    <cellStyle name="Normal 6 5 65 3" xfId="21423"/>
    <cellStyle name="Normal 6 5 65 4" xfId="26466"/>
    <cellStyle name="Normal 6 5 65 5" xfId="31427"/>
    <cellStyle name="Normal 6 5 65 6" xfId="36285"/>
    <cellStyle name="Normal 6 5 65 7" xfId="41016"/>
    <cellStyle name="Normal 6 5 66" xfId="9596"/>
    <cellStyle name="Normal 6 5 66 2" xfId="16677"/>
    <cellStyle name="Normal 6 5 66 3" xfId="21794"/>
    <cellStyle name="Normal 6 5 66 4" xfId="26837"/>
    <cellStyle name="Normal 6 5 66 5" xfId="31798"/>
    <cellStyle name="Normal 6 5 66 6" xfId="36656"/>
    <cellStyle name="Normal 6 5 66 7" xfId="41387"/>
    <cellStyle name="Normal 6 5 67" xfId="9357"/>
    <cellStyle name="Normal 6 5 67 2" xfId="16438"/>
    <cellStyle name="Normal 6 5 67 3" xfId="21555"/>
    <cellStyle name="Normal 6 5 67 4" xfId="26598"/>
    <cellStyle name="Normal 6 5 67 5" xfId="31559"/>
    <cellStyle name="Normal 6 5 67 6" xfId="36417"/>
    <cellStyle name="Normal 6 5 67 7" xfId="41148"/>
    <cellStyle name="Normal 6 5 68" xfId="9591"/>
    <cellStyle name="Normal 6 5 68 2" xfId="16672"/>
    <cellStyle name="Normal 6 5 68 3" xfId="21789"/>
    <cellStyle name="Normal 6 5 68 4" xfId="26832"/>
    <cellStyle name="Normal 6 5 68 5" xfId="31793"/>
    <cellStyle name="Normal 6 5 68 6" xfId="36651"/>
    <cellStyle name="Normal 6 5 68 7" xfId="41382"/>
    <cellStyle name="Normal 6 5 69" xfId="9594"/>
    <cellStyle name="Normal 6 5 69 2" xfId="16675"/>
    <cellStyle name="Normal 6 5 69 3" xfId="21792"/>
    <cellStyle name="Normal 6 5 69 4" xfId="26835"/>
    <cellStyle name="Normal 6 5 69 5" xfId="31796"/>
    <cellStyle name="Normal 6 5 69 6" xfId="36654"/>
    <cellStyle name="Normal 6 5 69 7" xfId="41385"/>
    <cellStyle name="Normal 6 5 7" xfId="4393"/>
    <cellStyle name="Normal 6 5 7 2" xfId="6481"/>
    <cellStyle name="Normal 6 5 7 3" xfId="18591"/>
    <cellStyle name="Normal 6 5 7 4" xfId="23634"/>
    <cellStyle name="Normal 6 5 7 5" xfId="28595"/>
    <cellStyle name="Normal 6 5 7 6" xfId="33453"/>
    <cellStyle name="Normal 6 5 7 7" xfId="38184"/>
    <cellStyle name="Normal 6 5 70" xfId="9310"/>
    <cellStyle name="Normal 6 5 70 2" xfId="16391"/>
    <cellStyle name="Normal 6 5 70 3" xfId="21508"/>
    <cellStyle name="Normal 6 5 70 4" xfId="26551"/>
    <cellStyle name="Normal 6 5 70 5" xfId="31512"/>
    <cellStyle name="Normal 6 5 70 6" xfId="36370"/>
    <cellStyle name="Normal 6 5 70 7" xfId="41101"/>
    <cellStyle name="Normal 6 5 71" xfId="9481"/>
    <cellStyle name="Normal 6 5 71 2" xfId="16562"/>
    <cellStyle name="Normal 6 5 71 3" xfId="21679"/>
    <cellStyle name="Normal 6 5 71 4" xfId="26722"/>
    <cellStyle name="Normal 6 5 71 5" xfId="31683"/>
    <cellStyle name="Normal 6 5 71 6" xfId="36541"/>
    <cellStyle name="Normal 6 5 71 7" xfId="41272"/>
    <cellStyle name="Normal 6 5 72" xfId="9490"/>
    <cellStyle name="Normal 6 5 72 2" xfId="16571"/>
    <cellStyle name="Normal 6 5 72 3" xfId="21688"/>
    <cellStyle name="Normal 6 5 72 4" xfId="26731"/>
    <cellStyle name="Normal 6 5 72 5" xfId="31692"/>
    <cellStyle name="Normal 6 5 72 6" xfId="36550"/>
    <cellStyle name="Normal 6 5 72 7" xfId="41281"/>
    <cellStyle name="Normal 6 5 73" xfId="9553"/>
    <cellStyle name="Normal 6 5 73 2" xfId="16634"/>
    <cellStyle name="Normal 6 5 73 3" xfId="21751"/>
    <cellStyle name="Normal 6 5 73 4" xfId="26794"/>
    <cellStyle name="Normal 6 5 73 5" xfId="31755"/>
    <cellStyle name="Normal 6 5 73 6" xfId="36613"/>
    <cellStyle name="Normal 6 5 73 7" xfId="41344"/>
    <cellStyle name="Normal 6 5 74" xfId="9306"/>
    <cellStyle name="Normal 6 5 74 2" xfId="16387"/>
    <cellStyle name="Normal 6 5 74 3" xfId="21504"/>
    <cellStyle name="Normal 6 5 74 4" xfId="26547"/>
    <cellStyle name="Normal 6 5 74 5" xfId="31508"/>
    <cellStyle name="Normal 6 5 74 6" xfId="36366"/>
    <cellStyle name="Normal 6 5 74 7" xfId="41097"/>
    <cellStyle name="Normal 6 5 75" xfId="9163"/>
    <cellStyle name="Normal 6 5 75 2" xfId="16244"/>
    <cellStyle name="Normal 6 5 75 3" xfId="21361"/>
    <cellStyle name="Normal 6 5 75 4" xfId="26404"/>
    <cellStyle name="Normal 6 5 75 5" xfId="31365"/>
    <cellStyle name="Normal 6 5 75 6" xfId="36223"/>
    <cellStyle name="Normal 6 5 75 7" xfId="40954"/>
    <cellStyle name="Normal 6 5 76" xfId="9436"/>
    <cellStyle name="Normal 6 5 76 2" xfId="16517"/>
    <cellStyle name="Normal 6 5 76 3" xfId="21634"/>
    <cellStyle name="Normal 6 5 76 4" xfId="26677"/>
    <cellStyle name="Normal 6 5 76 5" xfId="31638"/>
    <cellStyle name="Normal 6 5 76 6" xfId="36496"/>
    <cellStyle name="Normal 6 5 76 7" xfId="41227"/>
    <cellStyle name="Normal 6 5 77" xfId="9802"/>
    <cellStyle name="Normal 6 5 77 2" xfId="16883"/>
    <cellStyle name="Normal 6 5 77 3" xfId="22000"/>
    <cellStyle name="Normal 6 5 77 4" xfId="27043"/>
    <cellStyle name="Normal 6 5 77 5" xfId="32004"/>
    <cellStyle name="Normal 6 5 77 6" xfId="36862"/>
    <cellStyle name="Normal 6 5 77 7" xfId="41593"/>
    <cellStyle name="Normal 6 5 78" xfId="9994"/>
    <cellStyle name="Normal 6 5 78 2" xfId="17075"/>
    <cellStyle name="Normal 6 5 78 3" xfId="22192"/>
    <cellStyle name="Normal 6 5 78 4" xfId="27235"/>
    <cellStyle name="Normal 6 5 78 5" xfId="32196"/>
    <cellStyle name="Normal 6 5 78 6" xfId="37054"/>
    <cellStyle name="Normal 6 5 78 7" xfId="41785"/>
    <cellStyle name="Normal 6 5 79" xfId="9865"/>
    <cellStyle name="Normal 6 5 79 2" xfId="16946"/>
    <cellStyle name="Normal 6 5 79 3" xfId="22063"/>
    <cellStyle name="Normal 6 5 79 4" xfId="27106"/>
    <cellStyle name="Normal 6 5 79 5" xfId="32067"/>
    <cellStyle name="Normal 6 5 79 6" xfId="36925"/>
    <cellStyle name="Normal 6 5 79 7" xfId="41656"/>
    <cellStyle name="Normal 6 5 8" xfId="4449"/>
    <cellStyle name="Normal 6 5 8 2" xfId="6484"/>
    <cellStyle name="Normal 6 5 8 3" xfId="18594"/>
    <cellStyle name="Normal 6 5 8 4" xfId="23637"/>
    <cellStyle name="Normal 6 5 8 5" xfId="28598"/>
    <cellStyle name="Normal 6 5 8 6" xfId="33456"/>
    <cellStyle name="Normal 6 5 8 7" xfId="38187"/>
    <cellStyle name="Normal 6 5 80" xfId="9991"/>
    <cellStyle name="Normal 6 5 80 2" xfId="17072"/>
    <cellStyle name="Normal 6 5 80 3" xfId="22189"/>
    <cellStyle name="Normal 6 5 80 4" xfId="27232"/>
    <cellStyle name="Normal 6 5 80 5" xfId="32193"/>
    <cellStyle name="Normal 6 5 80 6" xfId="37051"/>
    <cellStyle name="Normal 6 5 80 7" xfId="41782"/>
    <cellStyle name="Normal 6 5 81" xfId="9993"/>
    <cellStyle name="Normal 6 5 81 2" xfId="17074"/>
    <cellStyle name="Normal 6 5 81 3" xfId="22191"/>
    <cellStyle name="Normal 6 5 81 4" xfId="27234"/>
    <cellStyle name="Normal 6 5 81 5" xfId="32195"/>
    <cellStyle name="Normal 6 5 81 6" xfId="37053"/>
    <cellStyle name="Normal 6 5 81 7" xfId="41784"/>
    <cellStyle name="Normal 6 5 82" xfId="9842"/>
    <cellStyle name="Normal 6 5 82 2" xfId="16923"/>
    <cellStyle name="Normal 6 5 82 3" xfId="22040"/>
    <cellStyle name="Normal 6 5 82 4" xfId="27083"/>
    <cellStyle name="Normal 6 5 82 5" xfId="32044"/>
    <cellStyle name="Normal 6 5 82 6" xfId="36902"/>
    <cellStyle name="Normal 6 5 82 7" xfId="41633"/>
    <cellStyle name="Normal 6 5 83" xfId="10132"/>
    <cellStyle name="Normal 6 5 83 2" xfId="17213"/>
    <cellStyle name="Normal 6 5 83 3" xfId="22330"/>
    <cellStyle name="Normal 6 5 83 4" xfId="27373"/>
    <cellStyle name="Normal 6 5 83 5" xfId="32334"/>
    <cellStyle name="Normal 6 5 83 6" xfId="37192"/>
    <cellStyle name="Normal 6 5 83 7" xfId="41923"/>
    <cellStyle name="Normal 6 5 84" xfId="10324"/>
    <cellStyle name="Normal 6 5 84 2" xfId="17405"/>
    <cellStyle name="Normal 6 5 84 3" xfId="22522"/>
    <cellStyle name="Normal 6 5 84 4" xfId="27565"/>
    <cellStyle name="Normal 6 5 84 5" xfId="32526"/>
    <cellStyle name="Normal 6 5 84 6" xfId="37384"/>
    <cellStyle name="Normal 6 5 84 7" xfId="42115"/>
    <cellStyle name="Normal 6 5 85" xfId="10195"/>
    <cellStyle name="Normal 6 5 85 2" xfId="17276"/>
    <cellStyle name="Normal 6 5 85 3" xfId="22393"/>
    <cellStyle name="Normal 6 5 85 4" xfId="27436"/>
    <cellStyle name="Normal 6 5 85 5" xfId="32397"/>
    <cellStyle name="Normal 6 5 85 6" xfId="37255"/>
    <cellStyle name="Normal 6 5 85 7" xfId="41986"/>
    <cellStyle name="Normal 6 5 86" xfId="10321"/>
    <cellStyle name="Normal 6 5 86 2" xfId="17402"/>
    <cellStyle name="Normal 6 5 86 3" xfId="22519"/>
    <cellStyle name="Normal 6 5 86 4" xfId="27562"/>
    <cellStyle name="Normal 6 5 86 5" xfId="32523"/>
    <cellStyle name="Normal 6 5 86 6" xfId="37381"/>
    <cellStyle name="Normal 6 5 86 7" xfId="42112"/>
    <cellStyle name="Normal 6 5 87" xfId="10323"/>
    <cellStyle name="Normal 6 5 87 2" xfId="17404"/>
    <cellStyle name="Normal 6 5 87 3" xfId="22521"/>
    <cellStyle name="Normal 6 5 87 4" xfId="27564"/>
    <cellStyle name="Normal 6 5 87 5" xfId="32525"/>
    <cellStyle name="Normal 6 5 87 6" xfId="37383"/>
    <cellStyle name="Normal 6 5 87 7" xfId="42114"/>
    <cellStyle name="Normal 6 5 88" xfId="10172"/>
    <cellStyle name="Normal 6 5 88 2" xfId="17253"/>
    <cellStyle name="Normal 6 5 88 3" xfId="22370"/>
    <cellStyle name="Normal 6 5 88 4" xfId="27413"/>
    <cellStyle name="Normal 6 5 88 5" xfId="32374"/>
    <cellStyle name="Normal 6 5 88 6" xfId="37232"/>
    <cellStyle name="Normal 6 5 88 7" xfId="41963"/>
    <cellStyle name="Normal 6 5 89" xfId="12238"/>
    <cellStyle name="Normal 6 5 9" xfId="4533"/>
    <cellStyle name="Normal 6 5 9 2" xfId="6109"/>
    <cellStyle name="Normal 6 5 9 3" xfId="18213"/>
    <cellStyle name="Normal 6 5 9 4" xfId="23256"/>
    <cellStyle name="Normal 6 5 9 5" xfId="28217"/>
    <cellStyle name="Normal 6 5 9 6" xfId="33075"/>
    <cellStyle name="Normal 6 5 9 7" xfId="37806"/>
    <cellStyle name="Normal 6 5 90" xfId="11648"/>
    <cellStyle name="Normal 6 5 91" xfId="13807"/>
    <cellStyle name="Normal 6 5 92" xfId="17548"/>
    <cellStyle name="Normal 6 5 93" xfId="22646"/>
    <cellStyle name="Normal 6 5 94" xfId="27671"/>
    <cellStyle name="Normal 6 6" xfId="1318"/>
    <cellStyle name="Normal 6 6 2" xfId="12243"/>
    <cellStyle name="Normal 6 6 3" xfId="14128"/>
    <cellStyle name="Normal 6 6 4" xfId="17836"/>
    <cellStyle name="Normal 6 6 5" xfId="22892"/>
    <cellStyle name="Normal 6 6 6" xfId="27861"/>
    <cellStyle name="Normal 6 6 7" xfId="32731"/>
    <cellStyle name="Normal 6 7" xfId="1577"/>
    <cellStyle name="Normal 6 7 2" xfId="12428"/>
    <cellStyle name="Normal 6 7 3" xfId="13954"/>
    <cellStyle name="Normal 6 7 4" xfId="17681"/>
    <cellStyle name="Normal 6 7 5" xfId="22760"/>
    <cellStyle name="Normal 6 7 6" xfId="27763"/>
    <cellStyle name="Normal 6 7 7" xfId="32666"/>
    <cellStyle name="Normal 6 8" xfId="1718"/>
    <cellStyle name="Normal 6 8 10" xfId="4497"/>
    <cellStyle name="Normal 6 8 10 2" xfId="6150"/>
    <cellStyle name="Normal 6 8 10 3" xfId="18254"/>
    <cellStyle name="Normal 6 8 10 4" xfId="23297"/>
    <cellStyle name="Normal 6 8 10 5" xfId="28258"/>
    <cellStyle name="Normal 6 8 10 6" xfId="33116"/>
    <cellStyle name="Normal 6 8 10 7" xfId="37847"/>
    <cellStyle name="Normal 6 8 11" xfId="4682"/>
    <cellStyle name="Normal 6 8 11 2" xfId="6391"/>
    <cellStyle name="Normal 6 8 11 3" xfId="18501"/>
    <cellStyle name="Normal 6 8 11 4" xfId="23544"/>
    <cellStyle name="Normal 6 8 11 5" xfId="28505"/>
    <cellStyle name="Normal 6 8 11 6" xfId="33363"/>
    <cellStyle name="Normal 6 8 11 7" xfId="38094"/>
    <cellStyle name="Normal 6 8 12" xfId="4817"/>
    <cellStyle name="Normal 6 8 12 2" xfId="6306"/>
    <cellStyle name="Normal 6 8 12 3" xfId="18414"/>
    <cellStyle name="Normal 6 8 12 4" xfId="23457"/>
    <cellStyle name="Normal 6 8 12 5" xfId="28418"/>
    <cellStyle name="Normal 6 8 12 6" xfId="33276"/>
    <cellStyle name="Normal 6 8 12 7" xfId="38007"/>
    <cellStyle name="Normal 6 8 13" xfId="4760"/>
    <cellStyle name="Normal 6 8 13 2" xfId="6384"/>
    <cellStyle name="Normal 6 8 13 3" xfId="18494"/>
    <cellStyle name="Normal 6 8 13 4" xfId="23537"/>
    <cellStyle name="Normal 6 8 13 5" xfId="28498"/>
    <cellStyle name="Normal 6 8 13 6" xfId="33356"/>
    <cellStyle name="Normal 6 8 13 7" xfId="38087"/>
    <cellStyle name="Normal 6 8 14" xfId="4866"/>
    <cellStyle name="Normal 6 8 14 2" xfId="6124"/>
    <cellStyle name="Normal 6 8 14 3" xfId="18228"/>
    <cellStyle name="Normal 6 8 14 4" xfId="23271"/>
    <cellStyle name="Normal 6 8 14 5" xfId="28232"/>
    <cellStyle name="Normal 6 8 14 6" xfId="33090"/>
    <cellStyle name="Normal 6 8 14 7" xfId="37821"/>
    <cellStyle name="Normal 6 8 15" xfId="4898"/>
    <cellStyle name="Normal 6 8 15 2" xfId="6299"/>
    <cellStyle name="Normal 6 8 15 3" xfId="18406"/>
    <cellStyle name="Normal 6 8 15 4" xfId="23449"/>
    <cellStyle name="Normal 6 8 15 5" xfId="28410"/>
    <cellStyle name="Normal 6 8 15 6" xfId="33268"/>
    <cellStyle name="Normal 6 8 15 7" xfId="37999"/>
    <cellStyle name="Normal 6 8 16" xfId="5032"/>
    <cellStyle name="Normal 6 8 16 2" xfId="6255"/>
    <cellStyle name="Normal 6 8 16 3" xfId="18359"/>
    <cellStyle name="Normal 6 8 16 4" xfId="23402"/>
    <cellStyle name="Normal 6 8 16 5" xfId="28363"/>
    <cellStyle name="Normal 6 8 16 6" xfId="33221"/>
    <cellStyle name="Normal 6 8 16 7" xfId="37952"/>
    <cellStyle name="Normal 6 8 17" xfId="4979"/>
    <cellStyle name="Normal 6 8 17 2" xfId="6288"/>
    <cellStyle name="Normal 6 8 17 3" xfId="18394"/>
    <cellStyle name="Normal 6 8 17 4" xfId="23437"/>
    <cellStyle name="Normal 6 8 17 5" xfId="28398"/>
    <cellStyle name="Normal 6 8 17 6" xfId="33256"/>
    <cellStyle name="Normal 6 8 17 7" xfId="37987"/>
    <cellStyle name="Normal 6 8 18" xfId="5129"/>
    <cellStyle name="Normal 6 8 18 2" xfId="6113"/>
    <cellStyle name="Normal 6 8 18 3" xfId="18217"/>
    <cellStyle name="Normal 6 8 18 4" xfId="23260"/>
    <cellStyle name="Normal 6 8 18 5" xfId="28221"/>
    <cellStyle name="Normal 6 8 18 6" xfId="33079"/>
    <cellStyle name="Normal 6 8 18 7" xfId="37810"/>
    <cellStyle name="Normal 6 8 19" xfId="5100"/>
    <cellStyle name="Normal 6 8 19 2" xfId="6731"/>
    <cellStyle name="Normal 6 8 19 3" xfId="18852"/>
    <cellStyle name="Normal 6 8 19 4" xfId="23895"/>
    <cellStyle name="Normal 6 8 19 5" xfId="28856"/>
    <cellStyle name="Normal 6 8 19 6" xfId="33714"/>
    <cellStyle name="Normal 6 8 19 7" xfId="38445"/>
    <cellStyle name="Normal 6 8 2" xfId="2466"/>
    <cellStyle name="Normal 6 8 2 2" xfId="13013"/>
    <cellStyle name="Normal 6 8 2 3" xfId="13311"/>
    <cellStyle name="Normal 6 8 2 4" xfId="12300"/>
    <cellStyle name="Normal 6 8 2 5" xfId="11851"/>
    <cellStyle name="Normal 6 8 2 6" xfId="13694"/>
    <cellStyle name="Normal 6 8 2 7" xfId="13865"/>
    <cellStyle name="Normal 6 8 20" xfId="5358"/>
    <cellStyle name="Normal 6 8 20 2" xfId="6681"/>
    <cellStyle name="Normal 6 8 20 3" xfId="18801"/>
    <cellStyle name="Normal 6 8 20 4" xfId="23844"/>
    <cellStyle name="Normal 6 8 20 5" xfId="28805"/>
    <cellStyle name="Normal 6 8 20 6" xfId="33663"/>
    <cellStyle name="Normal 6 8 20 7" xfId="38394"/>
    <cellStyle name="Normal 6 8 21" xfId="5233"/>
    <cellStyle name="Normal 6 8 21 2" xfId="6714"/>
    <cellStyle name="Normal 6 8 21 3" xfId="18835"/>
    <cellStyle name="Normal 6 8 21 4" xfId="23878"/>
    <cellStyle name="Normal 6 8 21 5" xfId="28839"/>
    <cellStyle name="Normal 6 8 21 6" xfId="33697"/>
    <cellStyle name="Normal 6 8 21 7" xfId="38428"/>
    <cellStyle name="Normal 6 8 22" xfId="5445"/>
    <cellStyle name="Normal 6 8 22 2" xfId="6830"/>
    <cellStyle name="Normal 6 8 22 3" xfId="18951"/>
    <cellStyle name="Normal 6 8 22 4" xfId="23994"/>
    <cellStyle name="Normal 6 8 22 5" xfId="28955"/>
    <cellStyle name="Normal 6 8 22 6" xfId="33813"/>
    <cellStyle name="Normal 6 8 22 7" xfId="38544"/>
    <cellStyle name="Normal 6 8 23" xfId="5521"/>
    <cellStyle name="Normal 6 8 23 2" xfId="7079"/>
    <cellStyle name="Normal 6 8 23 3" xfId="19223"/>
    <cellStyle name="Normal 6 8 23 4" xfId="24266"/>
    <cellStyle name="Normal 6 8 23 5" xfId="29227"/>
    <cellStyle name="Normal 6 8 23 6" xfId="34085"/>
    <cellStyle name="Normal 6 8 23 7" xfId="38816"/>
    <cellStyle name="Normal 6 8 24" xfId="5584"/>
    <cellStyle name="Normal 6 8 24 2" xfId="6932"/>
    <cellStyle name="Normal 6 8 24 3" xfId="19060"/>
    <cellStyle name="Normal 6 8 24 4" xfId="24103"/>
    <cellStyle name="Normal 6 8 24 5" xfId="29064"/>
    <cellStyle name="Normal 6 8 24 6" xfId="33922"/>
    <cellStyle name="Normal 6 8 24 7" xfId="38653"/>
    <cellStyle name="Normal 6 8 25" xfId="5338"/>
    <cellStyle name="Normal 6 8 25 2" xfId="7029"/>
    <cellStyle name="Normal 6 8 25 3" xfId="19169"/>
    <cellStyle name="Normal 6 8 25 4" xfId="24212"/>
    <cellStyle name="Normal 6 8 25 5" xfId="29173"/>
    <cellStyle name="Normal 6 8 25 6" xfId="34031"/>
    <cellStyle name="Normal 6 8 25 7" xfId="38762"/>
    <cellStyle name="Normal 6 8 26" xfId="5272"/>
    <cellStyle name="Normal 6 8 26 2" xfId="7321"/>
    <cellStyle name="Normal 6 8 26 3" xfId="19492"/>
    <cellStyle name="Normal 6 8 26 4" xfId="24535"/>
    <cellStyle name="Normal 6 8 26 5" xfId="29496"/>
    <cellStyle name="Normal 6 8 26 6" xfId="34354"/>
    <cellStyle name="Normal 6 8 26 7" xfId="39085"/>
    <cellStyle name="Normal 6 8 27" xfId="5554"/>
    <cellStyle name="Normal 6 8 27 2" xfId="7031"/>
    <cellStyle name="Normal 6 8 27 3" xfId="19171"/>
    <cellStyle name="Normal 6 8 27 4" xfId="24214"/>
    <cellStyle name="Normal 6 8 27 5" xfId="29175"/>
    <cellStyle name="Normal 6 8 27 6" xfId="34033"/>
    <cellStyle name="Normal 6 8 27 7" xfId="38764"/>
    <cellStyle name="Normal 6 8 28" xfId="5395"/>
    <cellStyle name="Normal 6 8 28 2" xfId="7003"/>
    <cellStyle name="Normal 6 8 28 3" xfId="19142"/>
    <cellStyle name="Normal 6 8 28 4" xfId="24185"/>
    <cellStyle name="Normal 6 8 28 5" xfId="29146"/>
    <cellStyle name="Normal 6 8 28 6" xfId="34004"/>
    <cellStyle name="Normal 6 8 28 7" xfId="38735"/>
    <cellStyle name="Normal 6 8 29" xfId="5768"/>
    <cellStyle name="Normal 6 8 29 2" xfId="14377"/>
    <cellStyle name="Normal 6 8 29 3" xfId="19310"/>
    <cellStyle name="Normal 6 8 29 4" xfId="24353"/>
    <cellStyle name="Normal 6 8 29 5" xfId="29314"/>
    <cellStyle name="Normal 6 8 29 6" xfId="34172"/>
    <cellStyle name="Normal 6 8 29 7" xfId="38903"/>
    <cellStyle name="Normal 6 8 3" xfId="4266"/>
    <cellStyle name="Normal 6 8 3 2" xfId="6079"/>
    <cellStyle name="Normal 6 8 3 3" xfId="18183"/>
    <cellStyle name="Normal 6 8 3 4" xfId="23226"/>
    <cellStyle name="Normal 6 8 3 5" xfId="28187"/>
    <cellStyle name="Normal 6 8 3 6" xfId="33045"/>
    <cellStyle name="Normal 6 8 3 7" xfId="37776"/>
    <cellStyle name="Normal 6 8 30" xfId="7132"/>
    <cellStyle name="Normal 6 8 30 2" xfId="14363"/>
    <cellStyle name="Normal 6 8 30 3" xfId="19281"/>
    <cellStyle name="Normal 6 8 30 4" xfId="24324"/>
    <cellStyle name="Normal 6 8 30 5" xfId="29285"/>
    <cellStyle name="Normal 6 8 30 6" xfId="34143"/>
    <cellStyle name="Normal 6 8 30 7" xfId="38874"/>
    <cellStyle name="Normal 6 8 31" xfId="7298"/>
    <cellStyle name="Normal 6 8 31 2" xfId="14442"/>
    <cellStyle name="Normal 6 8 31 3" xfId="19467"/>
    <cellStyle name="Normal 6 8 31 4" xfId="24510"/>
    <cellStyle name="Normal 6 8 31 5" xfId="29471"/>
    <cellStyle name="Normal 6 8 31 6" xfId="34329"/>
    <cellStyle name="Normal 6 8 31 7" xfId="39060"/>
    <cellStyle name="Normal 6 8 32" xfId="7244"/>
    <cellStyle name="Normal 6 8 32 2" xfId="14412"/>
    <cellStyle name="Normal 6 8 32 3" xfId="19406"/>
    <cellStyle name="Normal 6 8 32 4" xfId="24449"/>
    <cellStyle name="Normal 6 8 32 5" xfId="29410"/>
    <cellStyle name="Normal 6 8 32 6" xfId="34268"/>
    <cellStyle name="Normal 6 8 32 7" xfId="38999"/>
    <cellStyle name="Normal 6 8 33" xfId="7293"/>
    <cellStyle name="Normal 6 8 33 2" xfId="14437"/>
    <cellStyle name="Normal 6 8 33 3" xfId="19460"/>
    <cellStyle name="Normal 6 8 33 4" xfId="24503"/>
    <cellStyle name="Normal 6 8 33 5" xfId="29464"/>
    <cellStyle name="Normal 6 8 33 6" xfId="34322"/>
    <cellStyle name="Normal 6 8 33 7" xfId="39053"/>
    <cellStyle name="Normal 6 8 34" xfId="7116"/>
    <cellStyle name="Normal 6 8 34 2" xfId="14352"/>
    <cellStyle name="Normal 6 8 34 3" xfId="19262"/>
    <cellStyle name="Normal 6 8 34 4" xfId="24305"/>
    <cellStyle name="Normal 6 8 34 5" xfId="29266"/>
    <cellStyle name="Normal 6 8 34 6" xfId="34124"/>
    <cellStyle name="Normal 6 8 34 7" xfId="38855"/>
    <cellStyle name="Normal 6 8 35" xfId="7720"/>
    <cellStyle name="Normal 6 8 35 2" xfId="14800"/>
    <cellStyle name="Normal 6 8 35 3" xfId="19917"/>
    <cellStyle name="Normal 6 8 35 4" xfId="24960"/>
    <cellStyle name="Normal 6 8 35 5" xfId="29921"/>
    <cellStyle name="Normal 6 8 35 6" xfId="34779"/>
    <cellStyle name="Normal 6 8 35 7" xfId="39510"/>
    <cellStyle name="Normal 6 8 36" xfId="7533"/>
    <cellStyle name="Normal 6 8 36 2" xfId="14611"/>
    <cellStyle name="Normal 6 8 36 3" xfId="19728"/>
    <cellStyle name="Normal 6 8 36 4" xfId="24771"/>
    <cellStyle name="Normal 6 8 36 5" xfId="29732"/>
    <cellStyle name="Normal 6 8 36 6" xfId="34590"/>
    <cellStyle name="Normal 6 8 36 7" xfId="39321"/>
    <cellStyle name="Normal 6 8 37" xfId="7658"/>
    <cellStyle name="Normal 6 8 37 2" xfId="14738"/>
    <cellStyle name="Normal 6 8 37 3" xfId="19855"/>
    <cellStyle name="Normal 6 8 37 4" xfId="24898"/>
    <cellStyle name="Normal 6 8 37 5" xfId="29859"/>
    <cellStyle name="Normal 6 8 37 6" xfId="34717"/>
    <cellStyle name="Normal 6 8 37 7" xfId="39448"/>
    <cellStyle name="Normal 6 8 38" xfId="8031"/>
    <cellStyle name="Normal 6 8 38 2" xfId="15111"/>
    <cellStyle name="Normal 6 8 38 3" xfId="20228"/>
    <cellStyle name="Normal 6 8 38 4" xfId="25271"/>
    <cellStyle name="Normal 6 8 38 5" xfId="30232"/>
    <cellStyle name="Normal 6 8 38 6" xfId="35090"/>
    <cellStyle name="Normal 6 8 38 7" xfId="39821"/>
    <cellStyle name="Normal 6 8 39" xfId="7660"/>
    <cellStyle name="Normal 6 8 39 2" xfId="14740"/>
    <cellStyle name="Normal 6 8 39 3" xfId="19857"/>
    <cellStyle name="Normal 6 8 39 4" xfId="24900"/>
    <cellStyle name="Normal 6 8 39 5" xfId="29861"/>
    <cellStyle name="Normal 6 8 39 6" xfId="34719"/>
    <cellStyle name="Normal 6 8 39 7" xfId="39450"/>
    <cellStyle name="Normal 6 8 4" xfId="4225"/>
    <cellStyle name="Normal 6 8 4 2" xfId="5873"/>
    <cellStyle name="Normal 6 8 4 3" xfId="17973"/>
    <cellStyle name="Normal 6 8 4 4" xfId="23016"/>
    <cellStyle name="Normal 6 8 4 5" xfId="27977"/>
    <cellStyle name="Normal 6 8 4 6" xfId="32835"/>
    <cellStyle name="Normal 6 8 4 7" xfId="37566"/>
    <cellStyle name="Normal 6 8 40" xfId="7627"/>
    <cellStyle name="Normal 6 8 40 2" xfId="14707"/>
    <cellStyle name="Normal 6 8 40 3" xfId="19824"/>
    <cellStyle name="Normal 6 8 40 4" xfId="24867"/>
    <cellStyle name="Normal 6 8 40 5" xfId="29828"/>
    <cellStyle name="Normal 6 8 40 6" xfId="34686"/>
    <cellStyle name="Normal 6 8 40 7" xfId="39417"/>
    <cellStyle name="Normal 6 8 41" xfId="7816"/>
    <cellStyle name="Normal 6 8 41 2" xfId="14896"/>
    <cellStyle name="Normal 6 8 41 3" xfId="20013"/>
    <cellStyle name="Normal 6 8 41 4" xfId="25056"/>
    <cellStyle name="Normal 6 8 41 5" xfId="30017"/>
    <cellStyle name="Normal 6 8 41 6" xfId="34875"/>
    <cellStyle name="Normal 6 8 41 7" xfId="39606"/>
    <cellStyle name="Normal 6 8 42" xfId="7783"/>
    <cellStyle name="Normal 6 8 42 2" xfId="14863"/>
    <cellStyle name="Normal 6 8 42 3" xfId="19980"/>
    <cellStyle name="Normal 6 8 42 4" xfId="25023"/>
    <cellStyle name="Normal 6 8 42 5" xfId="29984"/>
    <cellStyle name="Normal 6 8 42 6" xfId="34842"/>
    <cellStyle name="Normal 6 8 42 7" xfId="39573"/>
    <cellStyle name="Normal 6 8 43" xfId="8000"/>
    <cellStyle name="Normal 6 8 43 2" xfId="15080"/>
    <cellStyle name="Normal 6 8 43 3" xfId="20197"/>
    <cellStyle name="Normal 6 8 43 4" xfId="25240"/>
    <cellStyle name="Normal 6 8 43 5" xfId="30201"/>
    <cellStyle name="Normal 6 8 43 6" xfId="35059"/>
    <cellStyle name="Normal 6 8 43 7" xfId="39790"/>
    <cellStyle name="Normal 6 8 44" xfId="7924"/>
    <cellStyle name="Normal 6 8 44 2" xfId="15004"/>
    <cellStyle name="Normal 6 8 44 3" xfId="20121"/>
    <cellStyle name="Normal 6 8 44 4" xfId="25164"/>
    <cellStyle name="Normal 6 8 44 5" xfId="30125"/>
    <cellStyle name="Normal 6 8 44 6" xfId="34983"/>
    <cellStyle name="Normal 6 8 44 7" xfId="39714"/>
    <cellStyle name="Normal 6 8 45" xfId="7993"/>
    <cellStyle name="Normal 6 8 45 2" xfId="15073"/>
    <cellStyle name="Normal 6 8 45 3" xfId="20190"/>
    <cellStyle name="Normal 6 8 45 4" xfId="25233"/>
    <cellStyle name="Normal 6 8 45 5" xfId="30194"/>
    <cellStyle name="Normal 6 8 45 6" xfId="35052"/>
    <cellStyle name="Normal 6 8 45 7" xfId="39783"/>
    <cellStyle name="Normal 6 8 46" xfId="7761"/>
    <cellStyle name="Normal 6 8 46 2" xfId="14841"/>
    <cellStyle name="Normal 6 8 46 3" xfId="19958"/>
    <cellStyle name="Normal 6 8 46 4" xfId="25001"/>
    <cellStyle name="Normal 6 8 46 5" xfId="29962"/>
    <cellStyle name="Normal 6 8 46 6" xfId="34820"/>
    <cellStyle name="Normal 6 8 46 7" xfId="39551"/>
    <cellStyle name="Normal 6 8 47" xfId="7916"/>
    <cellStyle name="Normal 6 8 47 2" xfId="14996"/>
    <cellStyle name="Normal 6 8 47 3" xfId="20113"/>
    <cellStyle name="Normal 6 8 47 4" xfId="25156"/>
    <cellStyle name="Normal 6 8 47 5" xfId="30117"/>
    <cellStyle name="Normal 6 8 47 6" xfId="34975"/>
    <cellStyle name="Normal 6 8 47 7" xfId="39706"/>
    <cellStyle name="Normal 6 8 48" xfId="7878"/>
    <cellStyle name="Normal 6 8 48 2" xfId="14958"/>
    <cellStyle name="Normal 6 8 48 3" xfId="20075"/>
    <cellStyle name="Normal 6 8 48 4" xfId="25118"/>
    <cellStyle name="Normal 6 8 48 5" xfId="30079"/>
    <cellStyle name="Normal 6 8 48 6" xfId="34937"/>
    <cellStyle name="Normal 6 8 48 7" xfId="39668"/>
    <cellStyle name="Normal 6 8 49" xfId="8500"/>
    <cellStyle name="Normal 6 8 49 2" xfId="15581"/>
    <cellStyle name="Normal 6 8 49 3" xfId="20698"/>
    <cellStyle name="Normal 6 8 49 4" xfId="25741"/>
    <cellStyle name="Normal 6 8 49 5" xfId="30702"/>
    <cellStyle name="Normal 6 8 49 6" xfId="35560"/>
    <cellStyle name="Normal 6 8 49 7" xfId="40291"/>
    <cellStyle name="Normal 6 8 5" xfId="4214"/>
    <cellStyle name="Normal 6 8 5 2" xfId="6011"/>
    <cellStyle name="Normal 6 8 5 3" xfId="18114"/>
    <cellStyle name="Normal 6 8 5 4" xfId="23157"/>
    <cellStyle name="Normal 6 8 5 5" xfId="28118"/>
    <cellStyle name="Normal 6 8 5 6" xfId="32976"/>
    <cellStyle name="Normal 6 8 5 7" xfId="37707"/>
    <cellStyle name="Normal 6 8 50" xfId="8314"/>
    <cellStyle name="Normal 6 8 50 2" xfId="15395"/>
    <cellStyle name="Normal 6 8 50 3" xfId="20512"/>
    <cellStyle name="Normal 6 8 50 4" xfId="25555"/>
    <cellStyle name="Normal 6 8 50 5" xfId="30516"/>
    <cellStyle name="Normal 6 8 50 6" xfId="35374"/>
    <cellStyle name="Normal 6 8 50 7" xfId="40105"/>
    <cellStyle name="Normal 6 8 51" xfId="8435"/>
    <cellStyle name="Normal 6 8 51 2" xfId="15516"/>
    <cellStyle name="Normal 6 8 51 3" xfId="20633"/>
    <cellStyle name="Normal 6 8 51 4" xfId="25676"/>
    <cellStyle name="Normal 6 8 51 5" xfId="30637"/>
    <cellStyle name="Normal 6 8 51 6" xfId="35495"/>
    <cellStyle name="Normal 6 8 51 7" xfId="40226"/>
    <cellStyle name="Normal 6 8 52" xfId="8830"/>
    <cellStyle name="Normal 6 8 52 2" xfId="15911"/>
    <cellStyle name="Normal 6 8 52 3" xfId="21028"/>
    <cellStyle name="Normal 6 8 52 4" xfId="26071"/>
    <cellStyle name="Normal 6 8 52 5" xfId="31032"/>
    <cellStyle name="Normal 6 8 52 6" xfId="35890"/>
    <cellStyle name="Normal 6 8 52 7" xfId="40621"/>
    <cellStyle name="Normal 6 8 53" xfId="8439"/>
    <cellStyle name="Normal 6 8 53 2" xfId="15520"/>
    <cellStyle name="Normal 6 8 53 3" xfId="20637"/>
    <cellStyle name="Normal 6 8 53 4" xfId="25680"/>
    <cellStyle name="Normal 6 8 53 5" xfId="30641"/>
    <cellStyle name="Normal 6 8 53 6" xfId="35499"/>
    <cellStyle name="Normal 6 8 53 7" xfId="40230"/>
    <cellStyle name="Normal 6 8 54" xfId="8401"/>
    <cellStyle name="Normal 6 8 54 2" xfId="15482"/>
    <cellStyle name="Normal 6 8 54 3" xfId="20599"/>
    <cellStyle name="Normal 6 8 54 4" xfId="25642"/>
    <cellStyle name="Normal 6 8 54 5" xfId="30603"/>
    <cellStyle name="Normal 6 8 54 6" xfId="35461"/>
    <cellStyle name="Normal 6 8 54 7" xfId="40192"/>
    <cellStyle name="Normal 6 8 55" xfId="8604"/>
    <cellStyle name="Normal 6 8 55 2" xfId="15685"/>
    <cellStyle name="Normal 6 8 55 3" xfId="20802"/>
    <cellStyle name="Normal 6 8 55 4" xfId="25845"/>
    <cellStyle name="Normal 6 8 55 5" xfId="30806"/>
    <cellStyle name="Normal 6 8 55 6" xfId="35664"/>
    <cellStyle name="Normal 6 8 55 7" xfId="40395"/>
    <cellStyle name="Normal 6 8 56" xfId="8397"/>
    <cellStyle name="Normal 6 8 56 2" xfId="15478"/>
    <cellStyle name="Normal 6 8 56 3" xfId="20595"/>
    <cellStyle name="Normal 6 8 56 4" xfId="25638"/>
    <cellStyle name="Normal 6 8 56 5" xfId="30599"/>
    <cellStyle name="Normal 6 8 56 6" xfId="35457"/>
    <cellStyle name="Normal 6 8 56 7" xfId="40188"/>
    <cellStyle name="Normal 6 8 57" xfId="8835"/>
    <cellStyle name="Normal 6 8 57 2" xfId="15916"/>
    <cellStyle name="Normal 6 8 57 3" xfId="21033"/>
    <cellStyle name="Normal 6 8 57 4" xfId="26076"/>
    <cellStyle name="Normal 6 8 57 5" xfId="31037"/>
    <cellStyle name="Normal 6 8 57 6" xfId="35895"/>
    <cellStyle name="Normal 6 8 57 7" xfId="40626"/>
    <cellStyle name="Normal 6 8 58" xfId="8943"/>
    <cellStyle name="Normal 6 8 58 2" xfId="16024"/>
    <cellStyle name="Normal 6 8 58 3" xfId="21141"/>
    <cellStyle name="Normal 6 8 58 4" xfId="26184"/>
    <cellStyle name="Normal 6 8 58 5" xfId="31145"/>
    <cellStyle name="Normal 6 8 58 6" xfId="36003"/>
    <cellStyle name="Normal 6 8 58 7" xfId="40734"/>
    <cellStyle name="Normal 6 8 59" xfId="8779"/>
    <cellStyle name="Normal 6 8 59 2" xfId="15860"/>
    <cellStyle name="Normal 6 8 59 3" xfId="20977"/>
    <cellStyle name="Normal 6 8 59 4" xfId="26020"/>
    <cellStyle name="Normal 6 8 59 5" xfId="30981"/>
    <cellStyle name="Normal 6 8 59 6" xfId="35839"/>
    <cellStyle name="Normal 6 8 59 7" xfId="40570"/>
    <cellStyle name="Normal 6 8 6" xfId="4400"/>
    <cellStyle name="Normal 6 8 6 2" xfId="6424"/>
    <cellStyle name="Normal 6 8 6 3" xfId="18534"/>
    <cellStyle name="Normal 6 8 6 4" xfId="23577"/>
    <cellStyle name="Normal 6 8 6 5" xfId="28538"/>
    <cellStyle name="Normal 6 8 6 6" xfId="33396"/>
    <cellStyle name="Normal 6 8 6 7" xfId="38127"/>
    <cellStyle name="Normal 6 8 60" xfId="8285"/>
    <cellStyle name="Normal 6 8 60 2" xfId="15366"/>
    <cellStyle name="Normal 6 8 60 3" xfId="20483"/>
    <cellStyle name="Normal 6 8 60 4" xfId="25526"/>
    <cellStyle name="Normal 6 8 60 5" xfId="30487"/>
    <cellStyle name="Normal 6 8 60 6" xfId="35345"/>
    <cellStyle name="Normal 6 8 60 7" xfId="40076"/>
    <cellStyle name="Normal 6 8 61" xfId="8281"/>
    <cellStyle name="Normal 6 8 61 2" xfId="15362"/>
    <cellStyle name="Normal 6 8 61 3" xfId="20479"/>
    <cellStyle name="Normal 6 8 61 4" xfId="25522"/>
    <cellStyle name="Normal 6 8 61 5" xfId="30483"/>
    <cellStyle name="Normal 6 8 61 6" xfId="35341"/>
    <cellStyle name="Normal 6 8 61 7" xfId="40072"/>
    <cellStyle name="Normal 6 8 62" xfId="8370"/>
    <cellStyle name="Normal 6 8 62 2" xfId="15451"/>
    <cellStyle name="Normal 6 8 62 3" xfId="20568"/>
    <cellStyle name="Normal 6 8 62 4" xfId="25611"/>
    <cellStyle name="Normal 6 8 62 5" xfId="30572"/>
    <cellStyle name="Normal 6 8 62 6" xfId="35430"/>
    <cellStyle name="Normal 6 8 62 7" xfId="40161"/>
    <cellStyle name="Normal 6 8 63" xfId="8566"/>
    <cellStyle name="Normal 6 8 63 2" xfId="15647"/>
    <cellStyle name="Normal 6 8 63 3" xfId="20764"/>
    <cellStyle name="Normal 6 8 63 4" xfId="25807"/>
    <cellStyle name="Normal 6 8 63 5" xfId="30768"/>
    <cellStyle name="Normal 6 8 63 6" xfId="35626"/>
    <cellStyle name="Normal 6 8 63 7" xfId="40357"/>
    <cellStyle name="Normal 6 8 64" xfId="9283"/>
    <cellStyle name="Normal 6 8 64 2" xfId="16364"/>
    <cellStyle name="Normal 6 8 64 3" xfId="21481"/>
    <cellStyle name="Normal 6 8 64 4" xfId="26524"/>
    <cellStyle name="Normal 6 8 64 5" xfId="31485"/>
    <cellStyle name="Normal 6 8 64 6" xfId="36343"/>
    <cellStyle name="Normal 6 8 64 7" xfId="41074"/>
    <cellStyle name="Normal 6 8 65" xfId="9120"/>
    <cellStyle name="Normal 6 8 65 2" xfId="16201"/>
    <cellStyle name="Normal 6 8 65 3" xfId="21318"/>
    <cellStyle name="Normal 6 8 65 4" xfId="26361"/>
    <cellStyle name="Normal 6 8 65 5" xfId="31322"/>
    <cellStyle name="Normal 6 8 65 6" xfId="36180"/>
    <cellStyle name="Normal 6 8 65 7" xfId="40911"/>
    <cellStyle name="Normal 6 8 66" xfId="9229"/>
    <cellStyle name="Normal 6 8 66 2" xfId="16310"/>
    <cellStyle name="Normal 6 8 66 3" xfId="21427"/>
    <cellStyle name="Normal 6 8 66 4" xfId="26470"/>
    <cellStyle name="Normal 6 8 66 5" xfId="31431"/>
    <cellStyle name="Normal 6 8 66 6" xfId="36289"/>
    <cellStyle name="Normal 6 8 66 7" xfId="41020"/>
    <cellStyle name="Normal 6 8 67" xfId="9552"/>
    <cellStyle name="Normal 6 8 67 2" xfId="16633"/>
    <cellStyle name="Normal 6 8 67 3" xfId="21750"/>
    <cellStyle name="Normal 6 8 67 4" xfId="26793"/>
    <cellStyle name="Normal 6 8 67 5" xfId="31754"/>
    <cellStyle name="Normal 6 8 67 6" xfId="36612"/>
    <cellStyle name="Normal 6 8 67 7" xfId="41343"/>
    <cellStyle name="Normal 6 8 68" xfId="9231"/>
    <cellStyle name="Normal 6 8 68 2" xfId="16312"/>
    <cellStyle name="Normal 6 8 68 3" xfId="21429"/>
    <cellStyle name="Normal 6 8 68 4" xfId="26472"/>
    <cellStyle name="Normal 6 8 68 5" xfId="31433"/>
    <cellStyle name="Normal 6 8 68 6" xfId="36291"/>
    <cellStyle name="Normal 6 8 68 7" xfId="41022"/>
    <cellStyle name="Normal 6 8 69" xfId="9202"/>
    <cellStyle name="Normal 6 8 69 2" xfId="16283"/>
    <cellStyle name="Normal 6 8 69 3" xfId="21400"/>
    <cellStyle name="Normal 6 8 69 4" xfId="26443"/>
    <cellStyle name="Normal 6 8 69 5" xfId="31404"/>
    <cellStyle name="Normal 6 8 69 6" xfId="36262"/>
    <cellStyle name="Normal 6 8 69 7" xfId="40993"/>
    <cellStyle name="Normal 6 8 7" xfId="4456"/>
    <cellStyle name="Normal 6 8 7 2" xfId="6013"/>
    <cellStyle name="Normal 6 8 7 3" xfId="18116"/>
    <cellStyle name="Normal 6 8 7 4" xfId="23159"/>
    <cellStyle name="Normal 6 8 7 5" xfId="28120"/>
    <cellStyle name="Normal 6 8 7 6" xfId="32978"/>
    <cellStyle name="Normal 6 8 7 7" xfId="37709"/>
    <cellStyle name="Normal 6 8 70" xfId="9370"/>
    <cellStyle name="Normal 6 8 70 2" xfId="16451"/>
    <cellStyle name="Normal 6 8 70 3" xfId="21568"/>
    <cellStyle name="Normal 6 8 70 4" xfId="26611"/>
    <cellStyle name="Normal 6 8 70 5" xfId="31572"/>
    <cellStyle name="Normal 6 8 70 6" xfId="36430"/>
    <cellStyle name="Normal 6 8 70 7" xfId="41161"/>
    <cellStyle name="Normal 6 8 71" xfId="9341"/>
    <cellStyle name="Normal 6 8 71 2" xfId="16422"/>
    <cellStyle name="Normal 6 8 71 3" xfId="21539"/>
    <cellStyle name="Normal 6 8 71 4" xfId="26582"/>
    <cellStyle name="Normal 6 8 71 5" xfId="31543"/>
    <cellStyle name="Normal 6 8 71 6" xfId="36401"/>
    <cellStyle name="Normal 6 8 71 7" xfId="41132"/>
    <cellStyle name="Normal 6 8 72" xfId="9527"/>
    <cellStyle name="Normal 6 8 72 2" xfId="16608"/>
    <cellStyle name="Normal 6 8 72 3" xfId="21725"/>
    <cellStyle name="Normal 6 8 72 4" xfId="26768"/>
    <cellStyle name="Normal 6 8 72 5" xfId="31729"/>
    <cellStyle name="Normal 6 8 72 6" xfId="36587"/>
    <cellStyle name="Normal 6 8 72 7" xfId="41318"/>
    <cellStyle name="Normal 6 8 73" xfId="9466"/>
    <cellStyle name="Normal 6 8 73 2" xfId="16547"/>
    <cellStyle name="Normal 6 8 73 3" xfId="21664"/>
    <cellStyle name="Normal 6 8 73 4" xfId="26707"/>
    <cellStyle name="Normal 6 8 73 5" xfId="31668"/>
    <cellStyle name="Normal 6 8 73 6" xfId="36526"/>
    <cellStyle name="Normal 6 8 73 7" xfId="41257"/>
    <cellStyle name="Normal 6 8 74" xfId="9520"/>
    <cellStyle name="Normal 6 8 74 2" xfId="16601"/>
    <cellStyle name="Normal 6 8 74 3" xfId="21718"/>
    <cellStyle name="Normal 6 8 74 4" xfId="26761"/>
    <cellStyle name="Normal 6 8 74 5" xfId="31722"/>
    <cellStyle name="Normal 6 8 74 6" xfId="36580"/>
    <cellStyle name="Normal 6 8 74 7" xfId="41311"/>
    <cellStyle name="Normal 6 8 75" xfId="9322"/>
    <cellStyle name="Normal 6 8 75 2" xfId="16403"/>
    <cellStyle name="Normal 6 8 75 3" xfId="21520"/>
    <cellStyle name="Normal 6 8 75 4" xfId="26563"/>
    <cellStyle name="Normal 6 8 75 5" xfId="31524"/>
    <cellStyle name="Normal 6 8 75 6" xfId="36382"/>
    <cellStyle name="Normal 6 8 75 7" xfId="41113"/>
    <cellStyle name="Normal 6 8 76" xfId="9830"/>
    <cellStyle name="Normal 6 8 76 2" xfId="16911"/>
    <cellStyle name="Normal 6 8 76 3" xfId="22028"/>
    <cellStyle name="Normal 6 8 76 4" xfId="27071"/>
    <cellStyle name="Normal 6 8 76 5" xfId="32032"/>
    <cellStyle name="Normal 6 8 76 6" xfId="36890"/>
    <cellStyle name="Normal 6 8 76 7" xfId="41621"/>
    <cellStyle name="Normal 6 8 77" xfId="9753"/>
    <cellStyle name="Normal 6 8 77 2" xfId="16834"/>
    <cellStyle name="Normal 6 8 77 3" xfId="21951"/>
    <cellStyle name="Normal 6 8 77 4" xfId="26994"/>
    <cellStyle name="Normal 6 8 77 5" xfId="31955"/>
    <cellStyle name="Normal 6 8 77 6" xfId="36813"/>
    <cellStyle name="Normal 6 8 77 7" xfId="41544"/>
    <cellStyle name="Normal 6 8 78" xfId="9804"/>
    <cellStyle name="Normal 6 8 78 2" xfId="16885"/>
    <cellStyle name="Normal 6 8 78 3" xfId="22002"/>
    <cellStyle name="Normal 6 8 78 4" xfId="27045"/>
    <cellStyle name="Normal 6 8 78 5" xfId="32006"/>
    <cellStyle name="Normal 6 8 78 6" xfId="36864"/>
    <cellStyle name="Normal 6 8 78 7" xfId="41595"/>
    <cellStyle name="Normal 6 8 79" xfId="9976"/>
    <cellStyle name="Normal 6 8 79 2" xfId="17057"/>
    <cellStyle name="Normal 6 8 79 3" xfId="22174"/>
    <cellStyle name="Normal 6 8 79 4" xfId="27217"/>
    <cellStyle name="Normal 6 8 79 5" xfId="32178"/>
    <cellStyle name="Normal 6 8 79 6" xfId="37036"/>
    <cellStyle name="Normal 6 8 79 7" xfId="41767"/>
    <cellStyle name="Normal 6 8 8" xfId="4544"/>
    <cellStyle name="Normal 6 8 8 2" xfId="5976"/>
    <cellStyle name="Normal 6 8 8 3" xfId="18078"/>
    <cellStyle name="Normal 6 8 8 4" xfId="23121"/>
    <cellStyle name="Normal 6 8 8 5" xfId="28082"/>
    <cellStyle name="Normal 6 8 8 6" xfId="32940"/>
    <cellStyle name="Normal 6 8 8 7" xfId="37671"/>
    <cellStyle name="Normal 6 8 80" xfId="9806"/>
    <cellStyle name="Normal 6 8 80 2" xfId="16887"/>
    <cellStyle name="Normal 6 8 80 3" xfId="22004"/>
    <cellStyle name="Normal 6 8 80 4" xfId="27047"/>
    <cellStyle name="Normal 6 8 80 5" xfId="32008"/>
    <cellStyle name="Normal 6 8 80 6" xfId="36866"/>
    <cellStyle name="Normal 6 8 80 7" xfId="41597"/>
    <cellStyle name="Normal 6 8 81" xfId="9786"/>
    <cellStyle name="Normal 6 8 81 2" xfId="16867"/>
    <cellStyle name="Normal 6 8 81 3" xfId="21984"/>
    <cellStyle name="Normal 6 8 81 4" xfId="27027"/>
    <cellStyle name="Normal 6 8 81 5" xfId="31988"/>
    <cellStyle name="Normal 6 8 81 6" xfId="36846"/>
    <cellStyle name="Normal 6 8 81 7" xfId="41577"/>
    <cellStyle name="Normal 6 8 82" xfId="10160"/>
    <cellStyle name="Normal 6 8 82 2" xfId="17241"/>
    <cellStyle name="Normal 6 8 82 3" xfId="22358"/>
    <cellStyle name="Normal 6 8 82 4" xfId="27401"/>
    <cellStyle name="Normal 6 8 82 5" xfId="32362"/>
    <cellStyle name="Normal 6 8 82 6" xfId="37220"/>
    <cellStyle name="Normal 6 8 82 7" xfId="41951"/>
    <cellStyle name="Normal 6 8 83" xfId="10083"/>
    <cellStyle name="Normal 6 8 83 2" xfId="17164"/>
    <cellStyle name="Normal 6 8 83 3" xfId="22281"/>
    <cellStyle name="Normal 6 8 83 4" xfId="27324"/>
    <cellStyle name="Normal 6 8 83 5" xfId="32285"/>
    <cellStyle name="Normal 6 8 83 6" xfId="37143"/>
    <cellStyle name="Normal 6 8 83 7" xfId="41874"/>
    <cellStyle name="Normal 6 8 84" xfId="10134"/>
    <cellStyle name="Normal 6 8 84 2" xfId="17215"/>
    <cellStyle name="Normal 6 8 84 3" xfId="22332"/>
    <cellStyle name="Normal 6 8 84 4" xfId="27375"/>
    <cellStyle name="Normal 6 8 84 5" xfId="32336"/>
    <cellStyle name="Normal 6 8 84 6" xfId="37194"/>
    <cellStyle name="Normal 6 8 84 7" xfId="41925"/>
    <cellStyle name="Normal 6 8 85" xfId="10306"/>
    <cellStyle name="Normal 6 8 85 2" xfId="17387"/>
    <cellStyle name="Normal 6 8 85 3" xfId="22504"/>
    <cellStyle name="Normal 6 8 85 4" xfId="27547"/>
    <cellStyle name="Normal 6 8 85 5" xfId="32508"/>
    <cellStyle name="Normal 6 8 85 6" xfId="37366"/>
    <cellStyle name="Normal 6 8 85 7" xfId="42097"/>
    <cellStyle name="Normal 6 8 86" xfId="10136"/>
    <cellStyle name="Normal 6 8 86 2" xfId="17217"/>
    <cellStyle name="Normal 6 8 86 3" xfId="22334"/>
    <cellStyle name="Normal 6 8 86 4" xfId="27377"/>
    <cellStyle name="Normal 6 8 86 5" xfId="32338"/>
    <cellStyle name="Normal 6 8 86 6" xfId="37196"/>
    <cellStyle name="Normal 6 8 86 7" xfId="41927"/>
    <cellStyle name="Normal 6 8 87" xfId="10116"/>
    <cellStyle name="Normal 6 8 87 2" xfId="17197"/>
    <cellStyle name="Normal 6 8 87 3" xfId="22314"/>
    <cellStyle name="Normal 6 8 87 4" xfId="27357"/>
    <cellStyle name="Normal 6 8 87 5" xfId="32318"/>
    <cellStyle name="Normal 6 8 87 6" xfId="37176"/>
    <cellStyle name="Normal 6 8 87 7" xfId="41907"/>
    <cellStyle name="Normal 6 8 88" xfId="12522"/>
    <cellStyle name="Normal 6 8 89" xfId="12329"/>
    <cellStyle name="Normal 6 8 9" xfId="4508"/>
    <cellStyle name="Normal 6 8 9 2" xfId="6187"/>
    <cellStyle name="Normal 6 8 9 3" xfId="18291"/>
    <cellStyle name="Normal 6 8 9 4" xfId="23334"/>
    <cellStyle name="Normal 6 8 9 5" xfId="28295"/>
    <cellStyle name="Normal 6 8 9 6" xfId="33153"/>
    <cellStyle name="Normal 6 8 9 7" xfId="37884"/>
    <cellStyle name="Normal 6 8 90" xfId="12442"/>
    <cellStyle name="Normal 6 8 91" xfId="13743"/>
    <cellStyle name="Normal 6 8 92" xfId="17490"/>
    <cellStyle name="Normal 6 8 93" xfId="22600"/>
    <cellStyle name="Normal 6 9" xfId="2455"/>
    <cellStyle name="Normal 6 9 2" xfId="13002"/>
    <cellStyle name="Normal 6 9 3" xfId="13995"/>
    <cellStyle name="Normal 6 9 4" xfId="17716"/>
    <cellStyle name="Normal 6 9 5" xfId="22789"/>
    <cellStyle name="Normal 6 9 6" xfId="27787"/>
    <cellStyle name="Normal 6 9 7" xfId="32681"/>
    <cellStyle name="Normal 60" xfId="336"/>
    <cellStyle name="Normal 60 10" xfId="14097"/>
    <cellStyle name="Normal 60 2" xfId="10547"/>
    <cellStyle name="Normal 60 3" xfId="10860"/>
    <cellStyle name="Normal 60 4" xfId="11144"/>
    <cellStyle name="Normal 60 5" xfId="11536"/>
    <cellStyle name="Normal 60 6" xfId="12102"/>
    <cellStyle name="Normal 60 7" xfId="12357"/>
    <cellStyle name="Normal 60 8" xfId="11946"/>
    <cellStyle name="Normal 60 9" xfId="12747"/>
    <cellStyle name="Normal 61" xfId="338"/>
    <cellStyle name="Normal 61 10" xfId="22678"/>
    <cellStyle name="Normal 61 2" xfId="10549"/>
    <cellStyle name="Normal 61 3" xfId="10862"/>
    <cellStyle name="Normal 61 4" xfId="11146"/>
    <cellStyle name="Normal 61 5" xfId="11538"/>
    <cellStyle name="Normal 61 6" xfId="11852"/>
    <cellStyle name="Normal 61 7" xfId="13380"/>
    <cellStyle name="Normal 61 8" xfId="13845"/>
    <cellStyle name="Normal 61 9" xfId="17584"/>
    <cellStyle name="Normal 62" xfId="340"/>
    <cellStyle name="Normal 62 10" xfId="13376"/>
    <cellStyle name="Normal 62 2" xfId="10551"/>
    <cellStyle name="Normal 62 3" xfId="10864"/>
    <cellStyle name="Normal 62 4" xfId="11148"/>
    <cellStyle name="Normal 62 5" xfId="11540"/>
    <cellStyle name="Normal 62 6" xfId="11800"/>
    <cellStyle name="Normal 62 7" xfId="12559"/>
    <cellStyle name="Normal 62 8" xfId="13498"/>
    <cellStyle name="Normal 62 9" xfId="13503"/>
    <cellStyle name="Normal 63" xfId="307"/>
    <cellStyle name="Normal 63 10" xfId="32675"/>
    <cellStyle name="Normal 63 2" xfId="10518"/>
    <cellStyle name="Normal 63 3" xfId="10831"/>
    <cellStyle name="Normal 63 4" xfId="11115"/>
    <cellStyle name="Normal 63 5" xfId="11507"/>
    <cellStyle name="Normal 63 6" xfId="13976"/>
    <cellStyle name="Normal 63 7" xfId="17700"/>
    <cellStyle name="Normal 63 8" xfId="22776"/>
    <cellStyle name="Normal 63 9" xfId="27776"/>
    <cellStyle name="Normal 64" xfId="342"/>
    <cellStyle name="Normal 64 10" xfId="27885"/>
    <cellStyle name="Normal 64 2" xfId="10553"/>
    <cellStyle name="Normal 64 3" xfId="10866"/>
    <cellStyle name="Normal 64 4" xfId="11150"/>
    <cellStyle name="Normal 64 5" xfId="11542"/>
    <cellStyle name="Normal 64 6" xfId="11780"/>
    <cellStyle name="Normal 64 7" xfId="14170"/>
    <cellStyle name="Normal 64 8" xfId="17872"/>
    <cellStyle name="Normal 64 9" xfId="22919"/>
    <cellStyle name="Normal 65" xfId="312"/>
    <cellStyle name="Normal 65 10" xfId="12564"/>
    <cellStyle name="Normal 65 2" xfId="10523"/>
    <cellStyle name="Normal 65 3" xfId="10836"/>
    <cellStyle name="Normal 65 4" xfId="11120"/>
    <cellStyle name="Normal 65 5" xfId="11512"/>
    <cellStyle name="Normal 65 6" xfId="13159"/>
    <cellStyle name="Normal 65 7" xfId="13352"/>
    <cellStyle name="Normal 65 8" xfId="13475"/>
    <cellStyle name="Normal 65 9" xfId="12048"/>
    <cellStyle name="Normal 66" xfId="314"/>
    <cellStyle name="Normal 66 10" xfId="32733"/>
    <cellStyle name="Normal 66 2" xfId="10525"/>
    <cellStyle name="Normal 66 3" xfId="10838"/>
    <cellStyle name="Normal 66 4" xfId="11122"/>
    <cellStyle name="Normal 66 5" xfId="11514"/>
    <cellStyle name="Normal 66 6" xfId="14133"/>
    <cellStyle name="Normal 66 7" xfId="17840"/>
    <cellStyle name="Normal 66 8" xfId="22895"/>
    <cellStyle name="Normal 66 9" xfId="27864"/>
    <cellStyle name="Normal 67" xfId="316"/>
    <cellStyle name="Normal 67 10" xfId="32650"/>
    <cellStyle name="Normal 67 2" xfId="10527"/>
    <cellStyle name="Normal 67 3" xfId="10840"/>
    <cellStyle name="Normal 67 4" xfId="11124"/>
    <cellStyle name="Normal 67 5" xfId="11516"/>
    <cellStyle name="Normal 67 6" xfId="13906"/>
    <cellStyle name="Normal 67 7" xfId="17639"/>
    <cellStyle name="Normal 67 8" xfId="22725"/>
    <cellStyle name="Normal 67 9" xfId="27734"/>
    <cellStyle name="Normal 68" xfId="318"/>
    <cellStyle name="Normal 68 10" xfId="17651"/>
    <cellStyle name="Normal 68 2" xfId="10529"/>
    <cellStyle name="Normal 68 3" xfId="10842"/>
    <cellStyle name="Normal 68 4" xfId="11126"/>
    <cellStyle name="Normal 68 5" xfId="11518"/>
    <cellStyle name="Normal 68 6" xfId="12525"/>
    <cellStyle name="Normal 68 7" xfId="13645"/>
    <cellStyle name="Normal 68 8" xfId="12019"/>
    <cellStyle name="Normal 68 9" xfId="13920"/>
    <cellStyle name="Normal 69" xfId="320"/>
    <cellStyle name="Normal 69 10" xfId="27798"/>
    <cellStyle name="Normal 69 2" xfId="10531"/>
    <cellStyle name="Normal 69 3" xfId="10844"/>
    <cellStyle name="Normal 69 4" xfId="11128"/>
    <cellStyle name="Normal 69 5" xfId="11520"/>
    <cellStyle name="Normal 69 6" xfId="13210"/>
    <cellStyle name="Normal 69 7" xfId="14014"/>
    <cellStyle name="Normal 69 8" xfId="17733"/>
    <cellStyle name="Normal 69 9" xfId="22805"/>
    <cellStyle name="Normal 7" xfId="54"/>
    <cellStyle name="Normal 7 10" xfId="13430"/>
    <cellStyle name="Normal 7 11" xfId="11633"/>
    <cellStyle name="Normal 7 12" xfId="12078"/>
    <cellStyle name="Normal 7 13" xfId="12893"/>
    <cellStyle name="Normal 7 14" xfId="12647"/>
    <cellStyle name="Normal 7 2" xfId="1298"/>
    <cellStyle name="Normal 7 2 10" xfId="4624"/>
    <cellStyle name="Normal 7 2 10 2" xfId="6552"/>
    <cellStyle name="Normal 7 2 10 3" xfId="18670"/>
    <cellStyle name="Normal 7 2 10 4" xfId="23713"/>
    <cellStyle name="Normal 7 2 10 5" xfId="28674"/>
    <cellStyle name="Normal 7 2 10 6" xfId="33532"/>
    <cellStyle name="Normal 7 2 10 7" xfId="38263"/>
    <cellStyle name="Normal 7 2 11" xfId="4511"/>
    <cellStyle name="Normal 7 2 11 2" xfId="6564"/>
    <cellStyle name="Normal 7 2 11 3" xfId="18682"/>
    <cellStyle name="Normal 7 2 11 4" xfId="23725"/>
    <cellStyle name="Normal 7 2 11 5" xfId="28686"/>
    <cellStyle name="Normal 7 2 11 6" xfId="33544"/>
    <cellStyle name="Normal 7 2 11 7" xfId="38275"/>
    <cellStyle name="Normal 7 2 12" xfId="4667"/>
    <cellStyle name="Normal 7 2 12 2" xfId="6575"/>
    <cellStyle name="Normal 7 2 12 3" xfId="18693"/>
    <cellStyle name="Normal 7 2 12 4" xfId="23736"/>
    <cellStyle name="Normal 7 2 12 5" xfId="28697"/>
    <cellStyle name="Normal 7 2 12 6" xfId="33555"/>
    <cellStyle name="Normal 7 2 12 7" xfId="38286"/>
    <cellStyle name="Normal 7 2 13" xfId="4787"/>
    <cellStyle name="Normal 7 2 13 2" xfId="6585"/>
    <cellStyle name="Normal 7 2 13 3" xfId="18703"/>
    <cellStyle name="Normal 7 2 13 4" xfId="23746"/>
    <cellStyle name="Normal 7 2 13 5" xfId="28707"/>
    <cellStyle name="Normal 7 2 13 6" xfId="33565"/>
    <cellStyle name="Normal 7 2 13 7" xfId="38296"/>
    <cellStyle name="Normal 7 2 14" xfId="4917"/>
    <cellStyle name="Normal 7 2 14 2" xfId="6595"/>
    <cellStyle name="Normal 7 2 14 3" xfId="18713"/>
    <cellStyle name="Normal 7 2 14 4" xfId="23756"/>
    <cellStyle name="Normal 7 2 14 5" xfId="28717"/>
    <cellStyle name="Normal 7 2 14 6" xfId="33575"/>
    <cellStyle name="Normal 7 2 14 7" xfId="38306"/>
    <cellStyle name="Normal 7 2 15" xfId="4937"/>
    <cellStyle name="Normal 7 2 15 2" xfId="6605"/>
    <cellStyle name="Normal 7 2 15 3" xfId="18723"/>
    <cellStyle name="Normal 7 2 15 4" xfId="23766"/>
    <cellStyle name="Normal 7 2 15 5" xfId="28727"/>
    <cellStyle name="Normal 7 2 15 6" xfId="33585"/>
    <cellStyle name="Normal 7 2 15 7" xfId="38316"/>
    <cellStyle name="Normal 7 2 16" xfId="4947"/>
    <cellStyle name="Normal 7 2 16 2" xfId="6615"/>
    <cellStyle name="Normal 7 2 16 3" xfId="18733"/>
    <cellStyle name="Normal 7 2 16 4" xfId="23776"/>
    <cellStyle name="Normal 7 2 16 5" xfId="28737"/>
    <cellStyle name="Normal 7 2 16 6" xfId="33595"/>
    <cellStyle name="Normal 7 2 16 7" xfId="38326"/>
    <cellStyle name="Normal 7 2 17" xfId="5004"/>
    <cellStyle name="Normal 7 2 17 2" xfId="6625"/>
    <cellStyle name="Normal 7 2 17 3" xfId="18743"/>
    <cellStyle name="Normal 7 2 17 4" xfId="23786"/>
    <cellStyle name="Normal 7 2 17 5" xfId="28747"/>
    <cellStyle name="Normal 7 2 17 6" xfId="33605"/>
    <cellStyle name="Normal 7 2 17 7" xfId="38336"/>
    <cellStyle name="Normal 7 2 18" xfId="5134"/>
    <cellStyle name="Normal 7 2 18 2" xfId="6635"/>
    <cellStyle name="Normal 7 2 18 3" xfId="18753"/>
    <cellStyle name="Normal 7 2 18 4" xfId="23796"/>
    <cellStyle name="Normal 7 2 18 5" xfId="28757"/>
    <cellStyle name="Normal 7 2 18 6" xfId="33615"/>
    <cellStyle name="Normal 7 2 18 7" xfId="38346"/>
    <cellStyle name="Normal 7 2 19" xfId="4981"/>
    <cellStyle name="Normal 7 2 19 2" xfId="6645"/>
    <cellStyle name="Normal 7 2 19 3" xfId="18763"/>
    <cellStyle name="Normal 7 2 19 4" xfId="23806"/>
    <cellStyle name="Normal 7 2 19 5" xfId="28767"/>
    <cellStyle name="Normal 7 2 19 6" xfId="33625"/>
    <cellStyle name="Normal 7 2 19 7" xfId="38356"/>
    <cellStyle name="Normal 7 2 2" xfId="1319"/>
    <cellStyle name="Normal 7 2 2 2" xfId="2476"/>
    <cellStyle name="Normal 7 2 2 2 10" xfId="4599"/>
    <cellStyle name="Normal 7 2 2 2 10 2" xfId="6154"/>
    <cellStyle name="Normal 7 2 2 2 10 3" xfId="18258"/>
    <cellStyle name="Normal 7 2 2 2 10 4" xfId="23301"/>
    <cellStyle name="Normal 7 2 2 2 10 5" xfId="28262"/>
    <cellStyle name="Normal 7 2 2 2 10 6" xfId="33120"/>
    <cellStyle name="Normal 7 2 2 2 10 7" xfId="37851"/>
    <cellStyle name="Normal 7 2 2 2 11" xfId="4689"/>
    <cellStyle name="Normal 7 2 2 2 11 2" xfId="6268"/>
    <cellStyle name="Normal 7 2 2 2 11 3" xfId="18372"/>
    <cellStyle name="Normal 7 2 2 2 11 4" xfId="23415"/>
    <cellStyle name="Normal 7 2 2 2 11 5" xfId="28376"/>
    <cellStyle name="Normal 7 2 2 2 11 6" xfId="33234"/>
    <cellStyle name="Normal 7 2 2 2 11 7" xfId="37965"/>
    <cellStyle name="Normal 7 2 2 2 12" xfId="4845"/>
    <cellStyle name="Normal 7 2 2 2 12 2" xfId="6380"/>
    <cellStyle name="Normal 7 2 2 2 12 3" xfId="18490"/>
    <cellStyle name="Normal 7 2 2 2 12 4" xfId="23533"/>
    <cellStyle name="Normal 7 2 2 2 12 5" xfId="28494"/>
    <cellStyle name="Normal 7 2 2 2 12 6" xfId="33352"/>
    <cellStyle name="Normal 7 2 2 2 12 7" xfId="38083"/>
    <cellStyle name="Normal 7 2 2 2 13" xfId="4834"/>
    <cellStyle name="Normal 7 2 2 2 13 2" xfId="6441"/>
    <cellStyle name="Normal 7 2 2 2 13 3" xfId="18551"/>
    <cellStyle name="Normal 7 2 2 2 13 4" xfId="23594"/>
    <cellStyle name="Normal 7 2 2 2 13 5" xfId="28555"/>
    <cellStyle name="Normal 7 2 2 2 13 6" xfId="33413"/>
    <cellStyle name="Normal 7 2 2 2 13 7" xfId="38144"/>
    <cellStyle name="Normal 7 2 2 2 14" xfId="4900"/>
    <cellStyle name="Normal 7 2 2 2 14 2" xfId="6423"/>
    <cellStyle name="Normal 7 2 2 2 14 3" xfId="18533"/>
    <cellStyle name="Normal 7 2 2 2 14 4" xfId="23576"/>
    <cellStyle name="Normal 7 2 2 2 14 5" xfId="28537"/>
    <cellStyle name="Normal 7 2 2 2 14 6" xfId="33395"/>
    <cellStyle name="Normal 7 2 2 2 14 7" xfId="38126"/>
    <cellStyle name="Normal 7 2 2 2 15" xfId="4887"/>
    <cellStyle name="Normal 7 2 2 2 15 2" xfId="6233"/>
    <cellStyle name="Normal 7 2 2 2 15 3" xfId="18337"/>
    <cellStyle name="Normal 7 2 2 2 15 4" xfId="23380"/>
    <cellStyle name="Normal 7 2 2 2 15 5" xfId="28341"/>
    <cellStyle name="Normal 7 2 2 2 15 6" xfId="33199"/>
    <cellStyle name="Normal 7 2 2 2 15 7" xfId="37930"/>
    <cellStyle name="Normal 7 2 2 2 16" xfId="5070"/>
    <cellStyle name="Normal 7 2 2 2 16 2" xfId="5951"/>
    <cellStyle name="Normal 7 2 2 2 16 3" xfId="18053"/>
    <cellStyle name="Normal 7 2 2 2 16 4" xfId="23096"/>
    <cellStyle name="Normal 7 2 2 2 16 5" xfId="28057"/>
    <cellStyle name="Normal 7 2 2 2 16 6" xfId="32915"/>
    <cellStyle name="Normal 7 2 2 2 16 7" xfId="37646"/>
    <cellStyle name="Normal 7 2 2 2 17" xfId="5053"/>
    <cellStyle name="Normal 7 2 2 2 17 2" xfId="6147"/>
    <cellStyle name="Normal 7 2 2 2 17 3" xfId="18251"/>
    <cellStyle name="Normal 7 2 2 2 17 4" xfId="23294"/>
    <cellStyle name="Normal 7 2 2 2 17 5" xfId="28255"/>
    <cellStyle name="Normal 7 2 2 2 17 6" xfId="33113"/>
    <cellStyle name="Normal 7 2 2 2 17 7" xfId="37844"/>
    <cellStyle name="Normal 7 2 2 2 18" xfId="5043"/>
    <cellStyle name="Normal 7 2 2 2 18 2" xfId="6020"/>
    <cellStyle name="Normal 7 2 2 2 18 3" xfId="18124"/>
    <cellStyle name="Normal 7 2 2 2 18 4" xfId="23167"/>
    <cellStyle name="Normal 7 2 2 2 18 5" xfId="28128"/>
    <cellStyle name="Normal 7 2 2 2 18 6" xfId="32986"/>
    <cellStyle name="Normal 7 2 2 2 18 7" xfId="37717"/>
    <cellStyle name="Normal 7 2 2 2 19" xfId="5056"/>
    <cellStyle name="Normal 7 2 2 2 19 2" xfId="6765"/>
    <cellStyle name="Normal 7 2 2 2 19 3" xfId="18886"/>
    <cellStyle name="Normal 7 2 2 2 19 4" xfId="23929"/>
    <cellStyle name="Normal 7 2 2 2 19 5" xfId="28890"/>
    <cellStyle name="Normal 7 2 2 2 19 6" xfId="33748"/>
    <cellStyle name="Normal 7 2 2 2 19 7" xfId="38479"/>
    <cellStyle name="Normal 7 2 2 2 2" xfId="2494"/>
    <cellStyle name="Normal 7 2 2 2 2 2" xfId="13041"/>
    <cellStyle name="Normal 7 2 2 2 2 3" xfId="12740"/>
    <cellStyle name="Normal 7 2 2 2 2 4" xfId="14172"/>
    <cellStyle name="Normal 7 2 2 2 2 5" xfId="17874"/>
    <cellStyle name="Normal 7 2 2 2 2 6" xfId="22921"/>
    <cellStyle name="Normal 7 2 2 2 2 7" xfId="27887"/>
    <cellStyle name="Normal 7 2 2 2 20" xfId="5423"/>
    <cellStyle name="Normal 7 2 2 2 20 2" xfId="6750"/>
    <cellStyle name="Normal 7 2 2 2 20 3" xfId="18871"/>
    <cellStyle name="Normal 7 2 2 2 20 4" xfId="23914"/>
    <cellStyle name="Normal 7 2 2 2 20 5" xfId="28875"/>
    <cellStyle name="Normal 7 2 2 2 20 6" xfId="33733"/>
    <cellStyle name="Normal 7 2 2 2 20 7" xfId="38464"/>
    <cellStyle name="Normal 7 2 2 2 21" xfId="5391"/>
    <cellStyle name="Normal 7 2 2 2 21 2" xfId="6816"/>
    <cellStyle name="Normal 7 2 2 2 21 3" xfId="18937"/>
    <cellStyle name="Normal 7 2 2 2 21 4" xfId="23980"/>
    <cellStyle name="Normal 7 2 2 2 21 5" xfId="28941"/>
    <cellStyle name="Normal 7 2 2 2 21 6" xfId="33799"/>
    <cellStyle name="Normal 7 2 2 2 21 7" xfId="38530"/>
    <cellStyle name="Normal 7 2 2 2 22" xfId="5525"/>
    <cellStyle name="Normal 7 2 2 2 22 2" xfId="6806"/>
    <cellStyle name="Normal 7 2 2 2 22 3" xfId="18927"/>
    <cellStyle name="Normal 7 2 2 2 22 4" xfId="23970"/>
    <cellStyle name="Normal 7 2 2 2 22 5" xfId="28931"/>
    <cellStyle name="Normal 7 2 2 2 22 6" xfId="33789"/>
    <cellStyle name="Normal 7 2 2 2 22 7" xfId="38520"/>
    <cellStyle name="Normal 7 2 2 2 23" xfId="5498"/>
    <cellStyle name="Normal 7 2 2 2 23 2" xfId="7167"/>
    <cellStyle name="Normal 7 2 2 2 23 3" xfId="19322"/>
    <cellStyle name="Normal 7 2 2 2 23 4" xfId="24365"/>
    <cellStyle name="Normal 7 2 2 2 23 5" xfId="29326"/>
    <cellStyle name="Normal 7 2 2 2 23 6" xfId="34184"/>
    <cellStyle name="Normal 7 2 2 2 23 7" xfId="38915"/>
    <cellStyle name="Normal 7 2 2 2 24" xfId="5277"/>
    <cellStyle name="Normal 7 2 2 2 24 2" xfId="7136"/>
    <cellStyle name="Normal 7 2 2 2 24 3" xfId="19286"/>
    <cellStyle name="Normal 7 2 2 2 24 4" xfId="24329"/>
    <cellStyle name="Normal 7 2 2 2 24 5" xfId="29290"/>
    <cellStyle name="Normal 7 2 2 2 24 6" xfId="34148"/>
    <cellStyle name="Normal 7 2 2 2 24 7" xfId="38879"/>
    <cellStyle name="Normal 7 2 2 2 25" xfId="5575"/>
    <cellStyle name="Normal 7 2 2 2 25 2" xfId="7277"/>
    <cellStyle name="Normal 7 2 2 2 25 3" xfId="19444"/>
    <cellStyle name="Normal 7 2 2 2 25 4" xfId="24487"/>
    <cellStyle name="Normal 7 2 2 2 25 5" xfId="29448"/>
    <cellStyle name="Normal 7 2 2 2 25 6" xfId="34306"/>
    <cellStyle name="Normal 7 2 2 2 25 7" xfId="39037"/>
    <cellStyle name="Normal 7 2 2 2 26" xfId="5271"/>
    <cellStyle name="Normal 7 2 2 2 26 2" xfId="7254"/>
    <cellStyle name="Normal 7 2 2 2 26 3" xfId="19417"/>
    <cellStyle name="Normal 7 2 2 2 26 4" xfId="24460"/>
    <cellStyle name="Normal 7 2 2 2 26 5" xfId="29421"/>
    <cellStyle name="Normal 7 2 2 2 26 6" xfId="34279"/>
    <cellStyle name="Normal 7 2 2 2 26 7" xfId="39010"/>
    <cellStyle name="Normal 7 2 2 2 27" xfId="5263"/>
    <cellStyle name="Normal 7 2 2 2 27 2" xfId="6982"/>
    <cellStyle name="Normal 7 2 2 2 27 3" xfId="19115"/>
    <cellStyle name="Normal 7 2 2 2 27 4" xfId="24158"/>
    <cellStyle name="Normal 7 2 2 2 27 5" xfId="29119"/>
    <cellStyle name="Normal 7 2 2 2 27 6" xfId="33977"/>
    <cellStyle name="Normal 7 2 2 2 27 7" xfId="38708"/>
    <cellStyle name="Normal 7 2 2 2 28" xfId="5544"/>
    <cellStyle name="Normal 7 2 2 2 28 2" xfId="7030"/>
    <cellStyle name="Normal 7 2 2 2 28 3" xfId="19170"/>
    <cellStyle name="Normal 7 2 2 2 28 4" xfId="24213"/>
    <cellStyle name="Normal 7 2 2 2 28 5" xfId="29174"/>
    <cellStyle name="Normal 7 2 2 2 28 6" xfId="34032"/>
    <cellStyle name="Normal 7 2 2 2 28 7" xfId="38763"/>
    <cellStyle name="Normal 7 2 2 2 29" xfId="5775"/>
    <cellStyle name="Normal 7 2 2 2 29 2" xfId="14464"/>
    <cellStyle name="Normal 7 2 2 2 29 3" xfId="19514"/>
    <cellStyle name="Normal 7 2 2 2 29 4" xfId="24557"/>
    <cellStyle name="Normal 7 2 2 2 29 5" xfId="29518"/>
    <cellStyle name="Normal 7 2 2 2 29 6" xfId="34376"/>
    <cellStyle name="Normal 7 2 2 2 29 7" xfId="39107"/>
    <cellStyle name="Normal 7 2 2 2 3" xfId="4289"/>
    <cellStyle name="Normal 7 2 2 2 3 2" xfId="6201"/>
    <cellStyle name="Normal 7 2 2 2 3 3" xfId="18305"/>
    <cellStyle name="Normal 7 2 2 2 3 4" xfId="23348"/>
    <cellStyle name="Normal 7 2 2 2 3 5" xfId="28309"/>
    <cellStyle name="Normal 7 2 2 2 3 6" xfId="33167"/>
    <cellStyle name="Normal 7 2 2 2 3 7" xfId="37898"/>
    <cellStyle name="Normal 7 2 2 2 30" xfId="7135"/>
    <cellStyle name="Normal 7 2 2 2 30 2" xfId="14365"/>
    <cellStyle name="Normal 7 2 2 2 30 3" xfId="19284"/>
    <cellStyle name="Normal 7 2 2 2 30 4" xfId="24327"/>
    <cellStyle name="Normal 7 2 2 2 30 5" xfId="29288"/>
    <cellStyle name="Normal 7 2 2 2 30 6" xfId="34146"/>
    <cellStyle name="Normal 7 2 2 2 30 7" xfId="38877"/>
    <cellStyle name="Normal 7 2 2 2 31" xfId="7220"/>
    <cellStyle name="Normal 7 2 2 2 31 2" xfId="14396"/>
    <cellStyle name="Normal 7 2 2 2 31 3" xfId="19378"/>
    <cellStyle name="Normal 7 2 2 2 31 4" xfId="24421"/>
    <cellStyle name="Normal 7 2 2 2 31 5" xfId="29382"/>
    <cellStyle name="Normal 7 2 2 2 31 6" xfId="34240"/>
    <cellStyle name="Normal 7 2 2 2 31 7" xfId="38971"/>
    <cellStyle name="Normal 7 2 2 2 32" xfId="7291"/>
    <cellStyle name="Normal 7 2 2 2 32 2" xfId="14435"/>
    <cellStyle name="Normal 7 2 2 2 32 3" xfId="19458"/>
    <cellStyle name="Normal 7 2 2 2 32 4" xfId="24501"/>
    <cellStyle name="Normal 7 2 2 2 32 5" xfId="29462"/>
    <cellStyle name="Normal 7 2 2 2 32 6" xfId="34320"/>
    <cellStyle name="Normal 7 2 2 2 32 7" xfId="39051"/>
    <cellStyle name="Normal 7 2 2 2 33" xfId="7331"/>
    <cellStyle name="Normal 7 2 2 2 33 2" xfId="14458"/>
    <cellStyle name="Normal 7 2 2 2 33 3" xfId="19503"/>
    <cellStyle name="Normal 7 2 2 2 33 4" xfId="24546"/>
    <cellStyle name="Normal 7 2 2 2 33 5" xfId="29507"/>
    <cellStyle name="Normal 7 2 2 2 33 6" xfId="34365"/>
    <cellStyle name="Normal 7 2 2 2 33 7" xfId="39096"/>
    <cellStyle name="Normal 7 2 2 2 34" xfId="7320"/>
    <cellStyle name="Normal 7 2 2 2 34 2" xfId="14451"/>
    <cellStyle name="Normal 7 2 2 2 34 3" xfId="19491"/>
    <cellStyle name="Normal 7 2 2 2 34 4" xfId="24534"/>
    <cellStyle name="Normal 7 2 2 2 34 5" xfId="29495"/>
    <cellStyle name="Normal 7 2 2 2 34 6" xfId="34353"/>
    <cellStyle name="Normal 7 2 2 2 34 7" xfId="39084"/>
    <cellStyle name="Normal 7 2 2 2 35" xfId="7828"/>
    <cellStyle name="Normal 7 2 2 2 35 2" xfId="14908"/>
    <cellStyle name="Normal 7 2 2 2 35 3" xfId="20025"/>
    <cellStyle name="Normal 7 2 2 2 35 4" xfId="25068"/>
    <cellStyle name="Normal 7 2 2 2 35 5" xfId="30029"/>
    <cellStyle name="Normal 7 2 2 2 35 6" xfId="34887"/>
    <cellStyle name="Normal 7 2 2 2 35 7" xfId="39618"/>
    <cellStyle name="Normal 7 2 2 2 36" xfId="7788"/>
    <cellStyle name="Normal 7 2 2 2 36 2" xfId="14868"/>
    <cellStyle name="Normal 7 2 2 2 36 3" xfId="19985"/>
    <cellStyle name="Normal 7 2 2 2 36 4" xfId="25028"/>
    <cellStyle name="Normal 7 2 2 2 36 5" xfId="29989"/>
    <cellStyle name="Normal 7 2 2 2 36 6" xfId="34847"/>
    <cellStyle name="Normal 7 2 2 2 36 7" xfId="39578"/>
    <cellStyle name="Normal 7 2 2 2 37" xfId="7973"/>
    <cellStyle name="Normal 7 2 2 2 37 2" xfId="15053"/>
    <cellStyle name="Normal 7 2 2 2 37 3" xfId="20170"/>
    <cellStyle name="Normal 7 2 2 2 37 4" xfId="25213"/>
    <cellStyle name="Normal 7 2 2 2 37 5" xfId="30174"/>
    <cellStyle name="Normal 7 2 2 2 37 6" xfId="35032"/>
    <cellStyle name="Normal 7 2 2 2 37 7" xfId="39763"/>
    <cellStyle name="Normal 7 2 2 2 38" xfId="7936"/>
    <cellStyle name="Normal 7 2 2 2 38 2" xfId="15016"/>
    <cellStyle name="Normal 7 2 2 2 38 3" xfId="20133"/>
    <cellStyle name="Normal 7 2 2 2 38 4" xfId="25176"/>
    <cellStyle name="Normal 7 2 2 2 38 5" xfId="30137"/>
    <cellStyle name="Normal 7 2 2 2 38 6" xfId="34995"/>
    <cellStyle name="Normal 7 2 2 2 38 7" xfId="39726"/>
    <cellStyle name="Normal 7 2 2 2 39" xfId="7595"/>
    <cellStyle name="Normal 7 2 2 2 39 2" xfId="14675"/>
    <cellStyle name="Normal 7 2 2 2 39 3" xfId="19792"/>
    <cellStyle name="Normal 7 2 2 2 39 4" xfId="24835"/>
    <cellStyle name="Normal 7 2 2 2 39 5" xfId="29796"/>
    <cellStyle name="Normal 7 2 2 2 39 6" xfId="34654"/>
    <cellStyle name="Normal 7 2 2 2 39 7" xfId="39385"/>
    <cellStyle name="Normal 7 2 2 2 4" xfId="4275"/>
    <cellStyle name="Normal 7 2 2 2 4 2" xfId="6156"/>
    <cellStyle name="Normal 7 2 2 2 4 3" xfId="18260"/>
    <cellStyle name="Normal 7 2 2 2 4 4" xfId="23303"/>
    <cellStyle name="Normal 7 2 2 2 4 5" xfId="28264"/>
    <cellStyle name="Normal 7 2 2 2 4 6" xfId="33122"/>
    <cellStyle name="Normal 7 2 2 2 4 7" xfId="37853"/>
    <cellStyle name="Normal 7 2 2 2 40" xfId="7659"/>
    <cellStyle name="Normal 7 2 2 2 40 2" xfId="14739"/>
    <cellStyle name="Normal 7 2 2 2 40 3" xfId="19856"/>
    <cellStyle name="Normal 7 2 2 2 40 4" xfId="24899"/>
    <cellStyle name="Normal 7 2 2 2 40 5" xfId="29860"/>
    <cellStyle name="Normal 7 2 2 2 40 6" xfId="34718"/>
    <cellStyle name="Normal 7 2 2 2 40 7" xfId="39449"/>
    <cellStyle name="Normal 7 2 2 2 41" xfId="8059"/>
    <cellStyle name="Normal 7 2 2 2 41 2" xfId="15139"/>
    <cellStyle name="Normal 7 2 2 2 41 3" xfId="20256"/>
    <cellStyle name="Normal 7 2 2 2 41 4" xfId="25299"/>
    <cellStyle name="Normal 7 2 2 2 41 5" xfId="30260"/>
    <cellStyle name="Normal 7 2 2 2 41 6" xfId="35118"/>
    <cellStyle name="Normal 7 2 2 2 41 7" xfId="39849"/>
    <cellStyle name="Normal 7 2 2 2 42" xfId="7786"/>
    <cellStyle name="Normal 7 2 2 2 42 2" xfId="14866"/>
    <cellStyle name="Normal 7 2 2 2 42 3" xfId="19983"/>
    <cellStyle name="Normal 7 2 2 2 42 4" xfId="25026"/>
    <cellStyle name="Normal 7 2 2 2 42 5" xfId="29987"/>
    <cellStyle name="Normal 7 2 2 2 42 6" xfId="34845"/>
    <cellStyle name="Normal 7 2 2 2 42 7" xfId="39576"/>
    <cellStyle name="Normal 7 2 2 2 43" xfId="7889"/>
    <cellStyle name="Normal 7 2 2 2 43 2" xfId="14969"/>
    <cellStyle name="Normal 7 2 2 2 43 3" xfId="20086"/>
    <cellStyle name="Normal 7 2 2 2 43 4" xfId="25129"/>
    <cellStyle name="Normal 7 2 2 2 43 5" xfId="30090"/>
    <cellStyle name="Normal 7 2 2 2 43 6" xfId="34948"/>
    <cellStyle name="Normal 7 2 2 2 43 7" xfId="39679"/>
    <cellStyle name="Normal 7 2 2 2 44" xfId="7989"/>
    <cellStyle name="Normal 7 2 2 2 44 2" xfId="15069"/>
    <cellStyle name="Normal 7 2 2 2 44 3" xfId="20186"/>
    <cellStyle name="Normal 7 2 2 2 44 4" xfId="25229"/>
    <cellStyle name="Normal 7 2 2 2 44 5" xfId="30190"/>
    <cellStyle name="Normal 7 2 2 2 44 6" xfId="35048"/>
    <cellStyle name="Normal 7 2 2 2 44 7" xfId="39779"/>
    <cellStyle name="Normal 7 2 2 2 45" xfId="8046"/>
    <cellStyle name="Normal 7 2 2 2 45 2" xfId="15126"/>
    <cellStyle name="Normal 7 2 2 2 45 3" xfId="20243"/>
    <cellStyle name="Normal 7 2 2 2 45 4" xfId="25286"/>
    <cellStyle name="Normal 7 2 2 2 45 5" xfId="30247"/>
    <cellStyle name="Normal 7 2 2 2 45 6" xfId="35105"/>
    <cellStyle name="Normal 7 2 2 2 45 7" xfId="39836"/>
    <cellStyle name="Normal 7 2 2 2 46" xfId="8030"/>
    <cellStyle name="Normal 7 2 2 2 46 2" xfId="15110"/>
    <cellStyle name="Normal 7 2 2 2 46 3" xfId="20227"/>
    <cellStyle name="Normal 7 2 2 2 46 4" xfId="25270"/>
    <cellStyle name="Normal 7 2 2 2 46 5" xfId="30231"/>
    <cellStyle name="Normal 7 2 2 2 46 6" xfId="35089"/>
    <cellStyle name="Normal 7 2 2 2 46 7" xfId="39820"/>
    <cellStyle name="Normal 7 2 2 2 47" xfId="7859"/>
    <cellStyle name="Normal 7 2 2 2 47 2" xfId="14939"/>
    <cellStyle name="Normal 7 2 2 2 47 3" xfId="20056"/>
    <cellStyle name="Normal 7 2 2 2 47 4" xfId="25099"/>
    <cellStyle name="Normal 7 2 2 2 47 5" xfId="30060"/>
    <cellStyle name="Normal 7 2 2 2 47 6" xfId="34918"/>
    <cellStyle name="Normal 7 2 2 2 47 7" xfId="39649"/>
    <cellStyle name="Normal 7 2 2 2 48" xfId="7606"/>
    <cellStyle name="Normal 7 2 2 2 48 2" xfId="14686"/>
    <cellStyle name="Normal 7 2 2 2 48 3" xfId="19803"/>
    <cellStyle name="Normal 7 2 2 2 48 4" xfId="24846"/>
    <cellStyle name="Normal 7 2 2 2 48 5" xfId="29807"/>
    <cellStyle name="Normal 7 2 2 2 48 6" xfId="34665"/>
    <cellStyle name="Normal 7 2 2 2 48 7" xfId="39396"/>
    <cellStyle name="Normal 7 2 2 2 49" xfId="8624"/>
    <cellStyle name="Normal 7 2 2 2 49 2" xfId="15705"/>
    <cellStyle name="Normal 7 2 2 2 49 3" xfId="20822"/>
    <cellStyle name="Normal 7 2 2 2 49 4" xfId="25865"/>
    <cellStyle name="Normal 7 2 2 2 49 5" xfId="30826"/>
    <cellStyle name="Normal 7 2 2 2 49 6" xfId="35684"/>
    <cellStyle name="Normal 7 2 2 2 49 7" xfId="40415"/>
    <cellStyle name="Normal 7 2 2 2 5" xfId="4310"/>
    <cellStyle name="Normal 7 2 2 2 5 2" xfId="6362"/>
    <cellStyle name="Normal 7 2 2 2 5 3" xfId="18471"/>
    <cellStyle name="Normal 7 2 2 2 5 4" xfId="23514"/>
    <cellStyle name="Normal 7 2 2 2 5 5" xfId="28475"/>
    <cellStyle name="Normal 7 2 2 2 5 6" xfId="33333"/>
    <cellStyle name="Normal 7 2 2 2 5 7" xfId="38064"/>
    <cellStyle name="Normal 7 2 2 2 50" xfId="8569"/>
    <cellStyle name="Normal 7 2 2 2 50 2" xfId="15650"/>
    <cellStyle name="Normal 7 2 2 2 50 3" xfId="20767"/>
    <cellStyle name="Normal 7 2 2 2 50 4" xfId="25810"/>
    <cellStyle name="Normal 7 2 2 2 50 5" xfId="30771"/>
    <cellStyle name="Normal 7 2 2 2 50 6" xfId="35629"/>
    <cellStyle name="Normal 7 2 2 2 50 7" xfId="40360"/>
    <cellStyle name="Normal 7 2 2 2 51" xfId="8773"/>
    <cellStyle name="Normal 7 2 2 2 51 2" xfId="15854"/>
    <cellStyle name="Normal 7 2 2 2 51 3" xfId="20971"/>
    <cellStyle name="Normal 7 2 2 2 51 4" xfId="26014"/>
    <cellStyle name="Normal 7 2 2 2 51 5" xfId="30975"/>
    <cellStyle name="Normal 7 2 2 2 51 6" xfId="35833"/>
    <cellStyle name="Normal 7 2 2 2 51 7" xfId="40564"/>
    <cellStyle name="Normal 7 2 2 2 52" xfId="8732"/>
    <cellStyle name="Normal 7 2 2 2 52 2" xfId="15813"/>
    <cellStyle name="Normal 7 2 2 2 52 3" xfId="20930"/>
    <cellStyle name="Normal 7 2 2 2 52 4" xfId="25973"/>
    <cellStyle name="Normal 7 2 2 2 52 5" xfId="30934"/>
    <cellStyle name="Normal 7 2 2 2 52 6" xfId="35792"/>
    <cellStyle name="Normal 7 2 2 2 52 7" xfId="40523"/>
    <cellStyle name="Normal 7 2 2 2 53" xfId="8378"/>
    <cellStyle name="Normal 7 2 2 2 53 2" xfId="15459"/>
    <cellStyle name="Normal 7 2 2 2 53 3" xfId="20576"/>
    <cellStyle name="Normal 7 2 2 2 53 4" xfId="25619"/>
    <cellStyle name="Normal 7 2 2 2 53 5" xfId="30580"/>
    <cellStyle name="Normal 7 2 2 2 53 6" xfId="35438"/>
    <cellStyle name="Normal 7 2 2 2 53 7" xfId="40169"/>
    <cellStyle name="Normal 7 2 2 2 54" xfId="8438"/>
    <cellStyle name="Normal 7 2 2 2 54 2" xfId="15519"/>
    <cellStyle name="Normal 7 2 2 2 54 3" xfId="20636"/>
    <cellStyle name="Normal 7 2 2 2 54 4" xfId="25679"/>
    <cellStyle name="Normal 7 2 2 2 54 5" xfId="30640"/>
    <cellStyle name="Normal 7 2 2 2 54 6" xfId="35498"/>
    <cellStyle name="Normal 7 2 2 2 54 7" xfId="40229"/>
    <cellStyle name="Normal 7 2 2 2 55" xfId="8860"/>
    <cellStyle name="Normal 7 2 2 2 55 2" xfId="15941"/>
    <cellStyle name="Normal 7 2 2 2 55 3" xfId="21058"/>
    <cellStyle name="Normal 7 2 2 2 55 4" xfId="26101"/>
    <cellStyle name="Normal 7 2 2 2 55 5" xfId="31062"/>
    <cellStyle name="Normal 7 2 2 2 55 6" xfId="35920"/>
    <cellStyle name="Normal 7 2 2 2 55 7" xfId="40651"/>
    <cellStyle name="Normal 7 2 2 2 56" xfId="8783"/>
    <cellStyle name="Normal 7 2 2 2 56 2" xfId="15864"/>
    <cellStyle name="Normal 7 2 2 2 56 3" xfId="20981"/>
    <cellStyle name="Normal 7 2 2 2 56 4" xfId="26024"/>
    <cellStyle name="Normal 7 2 2 2 56 5" xfId="30985"/>
    <cellStyle name="Normal 7 2 2 2 56 6" xfId="35843"/>
    <cellStyle name="Normal 7 2 2 2 56 7" xfId="40574"/>
    <cellStyle name="Normal 7 2 2 2 57" xfId="8261"/>
    <cellStyle name="Normal 7 2 2 2 57 2" xfId="15342"/>
    <cellStyle name="Normal 7 2 2 2 57 3" xfId="20459"/>
    <cellStyle name="Normal 7 2 2 2 57 4" xfId="25502"/>
    <cellStyle name="Normal 7 2 2 2 57 5" xfId="30463"/>
    <cellStyle name="Normal 7 2 2 2 57 6" xfId="35321"/>
    <cellStyle name="Normal 7 2 2 2 57 7" xfId="40052"/>
    <cellStyle name="Normal 7 2 2 2 58" xfId="8407"/>
    <cellStyle name="Normal 7 2 2 2 58 2" xfId="15488"/>
    <cellStyle name="Normal 7 2 2 2 58 3" xfId="20605"/>
    <cellStyle name="Normal 7 2 2 2 58 4" xfId="25648"/>
    <cellStyle name="Normal 7 2 2 2 58 5" xfId="30609"/>
    <cellStyle name="Normal 7 2 2 2 58 6" xfId="35467"/>
    <cellStyle name="Normal 7 2 2 2 58 7" xfId="40198"/>
    <cellStyle name="Normal 7 2 2 2 59" xfId="8799"/>
    <cellStyle name="Normal 7 2 2 2 59 2" xfId="15880"/>
    <cellStyle name="Normal 7 2 2 2 59 3" xfId="20997"/>
    <cellStyle name="Normal 7 2 2 2 59 4" xfId="26040"/>
    <cellStyle name="Normal 7 2 2 2 59 5" xfId="31001"/>
    <cellStyle name="Normal 7 2 2 2 59 6" xfId="35859"/>
    <cellStyle name="Normal 7 2 2 2 59 7" xfId="40590"/>
    <cellStyle name="Normal 7 2 2 2 6" xfId="4407"/>
    <cellStyle name="Normal 7 2 2 2 6 2" xfId="6320"/>
    <cellStyle name="Normal 7 2 2 2 6 3" xfId="18428"/>
    <cellStyle name="Normal 7 2 2 2 6 4" xfId="23471"/>
    <cellStyle name="Normal 7 2 2 2 6 5" xfId="28432"/>
    <cellStyle name="Normal 7 2 2 2 6 6" xfId="33290"/>
    <cellStyle name="Normal 7 2 2 2 6 7" xfId="38021"/>
    <cellStyle name="Normal 7 2 2 2 60" xfId="8886"/>
    <cellStyle name="Normal 7 2 2 2 60 2" xfId="15967"/>
    <cellStyle name="Normal 7 2 2 2 60 3" xfId="21084"/>
    <cellStyle name="Normal 7 2 2 2 60 4" xfId="26127"/>
    <cellStyle name="Normal 7 2 2 2 60 5" xfId="31088"/>
    <cellStyle name="Normal 7 2 2 2 60 6" xfId="35946"/>
    <cellStyle name="Normal 7 2 2 2 60 7" xfId="40677"/>
    <cellStyle name="Normal 7 2 2 2 61" xfId="8481"/>
    <cellStyle name="Normal 7 2 2 2 61 2" xfId="15562"/>
    <cellStyle name="Normal 7 2 2 2 61 3" xfId="20679"/>
    <cellStyle name="Normal 7 2 2 2 61 4" xfId="25722"/>
    <cellStyle name="Normal 7 2 2 2 61 5" xfId="30683"/>
    <cellStyle name="Normal 7 2 2 2 61 6" xfId="35541"/>
    <cellStyle name="Normal 7 2 2 2 61 7" xfId="40272"/>
    <cellStyle name="Normal 7 2 2 2 62" xfId="8945"/>
    <cellStyle name="Normal 7 2 2 2 62 2" xfId="16026"/>
    <cellStyle name="Normal 7 2 2 2 62 3" xfId="21143"/>
    <cellStyle name="Normal 7 2 2 2 62 4" xfId="26186"/>
    <cellStyle name="Normal 7 2 2 2 62 5" xfId="31147"/>
    <cellStyle name="Normal 7 2 2 2 62 6" xfId="36005"/>
    <cellStyle name="Normal 7 2 2 2 62 7" xfId="40736"/>
    <cellStyle name="Normal 7 2 2 2 63" xfId="8529"/>
    <cellStyle name="Normal 7 2 2 2 63 2" xfId="15610"/>
    <cellStyle name="Normal 7 2 2 2 63 3" xfId="20727"/>
    <cellStyle name="Normal 7 2 2 2 63 4" xfId="25770"/>
    <cellStyle name="Normal 7 2 2 2 63 5" xfId="30731"/>
    <cellStyle name="Normal 7 2 2 2 63 6" xfId="35589"/>
    <cellStyle name="Normal 7 2 2 2 63 7" xfId="40320"/>
    <cellStyle name="Normal 7 2 2 2 64" xfId="9382"/>
    <cellStyle name="Normal 7 2 2 2 64 2" xfId="16463"/>
    <cellStyle name="Normal 7 2 2 2 64 3" xfId="21580"/>
    <cellStyle name="Normal 7 2 2 2 64 4" xfId="26623"/>
    <cellStyle name="Normal 7 2 2 2 64 5" xfId="31584"/>
    <cellStyle name="Normal 7 2 2 2 64 6" xfId="36442"/>
    <cellStyle name="Normal 7 2 2 2 64 7" xfId="41173"/>
    <cellStyle name="Normal 7 2 2 2 65" xfId="9346"/>
    <cellStyle name="Normal 7 2 2 2 65 2" xfId="16427"/>
    <cellStyle name="Normal 7 2 2 2 65 3" xfId="21544"/>
    <cellStyle name="Normal 7 2 2 2 65 4" xfId="26587"/>
    <cellStyle name="Normal 7 2 2 2 65 5" xfId="31548"/>
    <cellStyle name="Normal 7 2 2 2 65 6" xfId="36406"/>
    <cellStyle name="Normal 7 2 2 2 65 7" xfId="41137"/>
    <cellStyle name="Normal 7 2 2 2 66" xfId="9504"/>
    <cellStyle name="Normal 7 2 2 2 66 2" xfId="16585"/>
    <cellStyle name="Normal 7 2 2 2 66 3" xfId="21702"/>
    <cellStyle name="Normal 7 2 2 2 66 4" xfId="26745"/>
    <cellStyle name="Normal 7 2 2 2 66 5" xfId="31706"/>
    <cellStyle name="Normal 7 2 2 2 66 6" xfId="36564"/>
    <cellStyle name="Normal 7 2 2 2 66 7" xfId="41295"/>
    <cellStyle name="Normal 7 2 2 2 67" xfId="9477"/>
    <cellStyle name="Normal 7 2 2 2 67 2" xfId="16558"/>
    <cellStyle name="Normal 7 2 2 2 67 3" xfId="21675"/>
    <cellStyle name="Normal 7 2 2 2 67 4" xfId="26718"/>
    <cellStyle name="Normal 7 2 2 2 67 5" xfId="31679"/>
    <cellStyle name="Normal 7 2 2 2 67 6" xfId="36537"/>
    <cellStyle name="Normal 7 2 2 2 67 7" xfId="41268"/>
    <cellStyle name="Normal 7 2 2 2 68" xfId="9175"/>
    <cellStyle name="Normal 7 2 2 2 68 2" xfId="16256"/>
    <cellStyle name="Normal 7 2 2 2 68 3" xfId="21373"/>
    <cellStyle name="Normal 7 2 2 2 68 4" xfId="26416"/>
    <cellStyle name="Normal 7 2 2 2 68 5" xfId="31377"/>
    <cellStyle name="Normal 7 2 2 2 68 6" xfId="36235"/>
    <cellStyle name="Normal 7 2 2 2 68 7" xfId="40966"/>
    <cellStyle name="Normal 7 2 2 2 69" xfId="9230"/>
    <cellStyle name="Normal 7 2 2 2 69 2" xfId="16311"/>
    <cellStyle name="Normal 7 2 2 2 69 3" xfId="21428"/>
    <cellStyle name="Normal 7 2 2 2 69 4" xfId="26471"/>
    <cellStyle name="Normal 7 2 2 2 69 5" xfId="31432"/>
    <cellStyle name="Normal 7 2 2 2 69 6" xfId="36290"/>
    <cellStyle name="Normal 7 2 2 2 69 7" xfId="41021"/>
    <cellStyle name="Normal 7 2 2 2 7" xfId="4463"/>
    <cellStyle name="Normal 7 2 2 2 7 2" xfId="5940"/>
    <cellStyle name="Normal 7 2 2 2 7 3" xfId="18042"/>
    <cellStyle name="Normal 7 2 2 2 7 4" xfId="23085"/>
    <cellStyle name="Normal 7 2 2 2 7 5" xfId="28046"/>
    <cellStyle name="Normal 7 2 2 2 7 6" xfId="32904"/>
    <cellStyle name="Normal 7 2 2 2 7 7" xfId="37635"/>
    <cellStyle name="Normal 7 2 2 2 70" xfId="9574"/>
    <cellStyle name="Normal 7 2 2 2 70 2" xfId="16655"/>
    <cellStyle name="Normal 7 2 2 2 70 3" xfId="21772"/>
    <cellStyle name="Normal 7 2 2 2 70 4" xfId="26815"/>
    <cellStyle name="Normal 7 2 2 2 70 5" xfId="31776"/>
    <cellStyle name="Normal 7 2 2 2 70 6" xfId="36634"/>
    <cellStyle name="Normal 7 2 2 2 70 7" xfId="41365"/>
    <cellStyle name="Normal 7 2 2 2 71" xfId="9344"/>
    <cellStyle name="Normal 7 2 2 2 71 2" xfId="16425"/>
    <cellStyle name="Normal 7 2 2 2 71 3" xfId="21542"/>
    <cellStyle name="Normal 7 2 2 2 71 4" xfId="26585"/>
    <cellStyle name="Normal 7 2 2 2 71 5" xfId="31546"/>
    <cellStyle name="Normal 7 2 2 2 71 6" xfId="36404"/>
    <cellStyle name="Normal 7 2 2 2 71 7" xfId="41135"/>
    <cellStyle name="Normal 7 2 2 2 72" xfId="9438"/>
    <cellStyle name="Normal 7 2 2 2 72 2" xfId="16519"/>
    <cellStyle name="Normal 7 2 2 2 72 3" xfId="21636"/>
    <cellStyle name="Normal 7 2 2 2 72 4" xfId="26679"/>
    <cellStyle name="Normal 7 2 2 2 72 5" xfId="31640"/>
    <cellStyle name="Normal 7 2 2 2 72 6" xfId="36498"/>
    <cellStyle name="Normal 7 2 2 2 72 7" xfId="41229"/>
    <cellStyle name="Normal 7 2 2 2 73" xfId="9518"/>
    <cellStyle name="Normal 7 2 2 2 73 2" xfId="16599"/>
    <cellStyle name="Normal 7 2 2 2 73 3" xfId="21716"/>
    <cellStyle name="Normal 7 2 2 2 73 4" xfId="26759"/>
    <cellStyle name="Normal 7 2 2 2 73 5" xfId="31720"/>
    <cellStyle name="Normal 7 2 2 2 73 6" xfId="36578"/>
    <cellStyle name="Normal 7 2 2 2 73 7" xfId="41309"/>
    <cellStyle name="Normal 7 2 2 2 74" xfId="9563"/>
    <cellStyle name="Normal 7 2 2 2 74 2" xfId="16644"/>
    <cellStyle name="Normal 7 2 2 2 74 3" xfId="21761"/>
    <cellStyle name="Normal 7 2 2 2 74 4" xfId="26804"/>
    <cellStyle name="Normal 7 2 2 2 74 5" xfId="31765"/>
    <cellStyle name="Normal 7 2 2 2 74 6" xfId="36623"/>
    <cellStyle name="Normal 7 2 2 2 74 7" xfId="41354"/>
    <cellStyle name="Normal 7 2 2 2 75" xfId="9551"/>
    <cellStyle name="Normal 7 2 2 2 75 2" xfId="16632"/>
    <cellStyle name="Normal 7 2 2 2 75 3" xfId="21749"/>
    <cellStyle name="Normal 7 2 2 2 75 4" xfId="26792"/>
    <cellStyle name="Normal 7 2 2 2 75 5" xfId="31753"/>
    <cellStyle name="Normal 7 2 2 2 75 6" xfId="36611"/>
    <cellStyle name="Normal 7 2 2 2 75 7" xfId="41342"/>
    <cellStyle name="Normal 7 2 2 2 76" xfId="9879"/>
    <cellStyle name="Normal 7 2 2 2 76 2" xfId="16960"/>
    <cellStyle name="Normal 7 2 2 2 76 3" xfId="22077"/>
    <cellStyle name="Normal 7 2 2 2 76 4" xfId="27120"/>
    <cellStyle name="Normal 7 2 2 2 76 5" xfId="32081"/>
    <cellStyle name="Normal 7 2 2 2 76 6" xfId="36939"/>
    <cellStyle name="Normal 7 2 2 2 76 7" xfId="41670"/>
    <cellStyle name="Normal 7 2 2 2 77" xfId="9858"/>
    <cellStyle name="Normal 7 2 2 2 77 2" xfId="16939"/>
    <cellStyle name="Normal 7 2 2 2 77 3" xfId="22056"/>
    <cellStyle name="Normal 7 2 2 2 77 4" xfId="27099"/>
    <cellStyle name="Normal 7 2 2 2 77 5" xfId="32060"/>
    <cellStyle name="Normal 7 2 2 2 77 6" xfId="36918"/>
    <cellStyle name="Normal 7 2 2 2 77 7" xfId="41649"/>
    <cellStyle name="Normal 7 2 2 2 78" xfId="9953"/>
    <cellStyle name="Normal 7 2 2 2 78 2" xfId="17034"/>
    <cellStyle name="Normal 7 2 2 2 78 3" xfId="22151"/>
    <cellStyle name="Normal 7 2 2 2 78 4" xfId="27194"/>
    <cellStyle name="Normal 7 2 2 2 78 5" xfId="32155"/>
    <cellStyle name="Normal 7 2 2 2 78 6" xfId="37013"/>
    <cellStyle name="Normal 7 2 2 2 78 7" xfId="41744"/>
    <cellStyle name="Normal 7 2 2 2 79" xfId="9939"/>
    <cellStyle name="Normal 7 2 2 2 79 2" xfId="17020"/>
    <cellStyle name="Normal 7 2 2 2 79 3" xfId="22137"/>
    <cellStyle name="Normal 7 2 2 2 79 4" xfId="27180"/>
    <cellStyle name="Normal 7 2 2 2 79 5" xfId="32141"/>
    <cellStyle name="Normal 7 2 2 2 79 6" xfId="36999"/>
    <cellStyle name="Normal 7 2 2 2 79 7" xfId="41730"/>
    <cellStyle name="Normal 7 2 2 2 8" xfId="4571"/>
    <cellStyle name="Normal 7 2 2 2 8 2" xfId="6012"/>
    <cellStyle name="Normal 7 2 2 2 8 3" xfId="18115"/>
    <cellStyle name="Normal 7 2 2 2 8 4" xfId="23158"/>
    <cellStyle name="Normal 7 2 2 2 8 5" xfId="28119"/>
    <cellStyle name="Normal 7 2 2 2 8 6" xfId="32977"/>
    <cellStyle name="Normal 7 2 2 2 8 7" xfId="37708"/>
    <cellStyle name="Normal 7 2 2 2 80" xfId="9776"/>
    <cellStyle name="Normal 7 2 2 2 80 2" xfId="16857"/>
    <cellStyle name="Normal 7 2 2 2 80 3" xfId="21974"/>
    <cellStyle name="Normal 7 2 2 2 80 4" xfId="27017"/>
    <cellStyle name="Normal 7 2 2 2 80 5" xfId="31978"/>
    <cellStyle name="Normal 7 2 2 2 80 6" xfId="36836"/>
    <cellStyle name="Normal 7 2 2 2 80 7" xfId="41567"/>
    <cellStyle name="Normal 7 2 2 2 81" xfId="9805"/>
    <cellStyle name="Normal 7 2 2 2 81 2" xfId="16886"/>
    <cellStyle name="Normal 7 2 2 2 81 3" xfId="22003"/>
    <cellStyle name="Normal 7 2 2 2 81 4" xfId="27046"/>
    <cellStyle name="Normal 7 2 2 2 81 5" xfId="32007"/>
    <cellStyle name="Normal 7 2 2 2 81 6" xfId="36865"/>
    <cellStyle name="Normal 7 2 2 2 81 7" xfId="41596"/>
    <cellStyle name="Normal 7 2 2 2 82" xfId="10209"/>
    <cellStyle name="Normal 7 2 2 2 82 2" xfId="17290"/>
    <cellStyle name="Normal 7 2 2 2 82 3" xfId="22407"/>
    <cellStyle name="Normal 7 2 2 2 82 4" xfId="27450"/>
    <cellStyle name="Normal 7 2 2 2 82 5" xfId="32411"/>
    <cellStyle name="Normal 7 2 2 2 82 6" xfId="37269"/>
    <cellStyle name="Normal 7 2 2 2 82 7" xfId="42000"/>
    <cellStyle name="Normal 7 2 2 2 83" xfId="10188"/>
    <cellStyle name="Normal 7 2 2 2 83 2" xfId="17269"/>
    <cellStyle name="Normal 7 2 2 2 83 3" xfId="22386"/>
    <cellStyle name="Normal 7 2 2 2 83 4" xfId="27429"/>
    <cellStyle name="Normal 7 2 2 2 83 5" xfId="32390"/>
    <cellStyle name="Normal 7 2 2 2 83 6" xfId="37248"/>
    <cellStyle name="Normal 7 2 2 2 83 7" xfId="41979"/>
    <cellStyle name="Normal 7 2 2 2 84" xfId="10283"/>
    <cellStyle name="Normal 7 2 2 2 84 2" xfId="17364"/>
    <cellStyle name="Normal 7 2 2 2 84 3" xfId="22481"/>
    <cellStyle name="Normal 7 2 2 2 84 4" xfId="27524"/>
    <cellStyle name="Normal 7 2 2 2 84 5" xfId="32485"/>
    <cellStyle name="Normal 7 2 2 2 84 6" xfId="37343"/>
    <cellStyle name="Normal 7 2 2 2 84 7" xfId="42074"/>
    <cellStyle name="Normal 7 2 2 2 85" xfId="10269"/>
    <cellStyle name="Normal 7 2 2 2 85 2" xfId="17350"/>
    <cellStyle name="Normal 7 2 2 2 85 3" xfId="22467"/>
    <cellStyle name="Normal 7 2 2 2 85 4" xfId="27510"/>
    <cellStyle name="Normal 7 2 2 2 85 5" xfId="32471"/>
    <cellStyle name="Normal 7 2 2 2 85 6" xfId="37329"/>
    <cellStyle name="Normal 7 2 2 2 85 7" xfId="42060"/>
    <cellStyle name="Normal 7 2 2 2 86" xfId="10106"/>
    <cellStyle name="Normal 7 2 2 2 86 2" xfId="17187"/>
    <cellStyle name="Normal 7 2 2 2 86 3" xfId="22304"/>
    <cellStyle name="Normal 7 2 2 2 86 4" xfId="27347"/>
    <cellStyle name="Normal 7 2 2 2 86 5" xfId="32308"/>
    <cellStyle name="Normal 7 2 2 2 86 6" xfId="37166"/>
    <cellStyle name="Normal 7 2 2 2 86 7" xfId="41897"/>
    <cellStyle name="Normal 7 2 2 2 87" xfId="10135"/>
    <cellStyle name="Normal 7 2 2 2 87 2" xfId="17216"/>
    <cellStyle name="Normal 7 2 2 2 87 3" xfId="22333"/>
    <cellStyle name="Normal 7 2 2 2 87 4" xfId="27376"/>
    <cellStyle name="Normal 7 2 2 2 87 5" xfId="32337"/>
    <cellStyle name="Normal 7 2 2 2 87 6" xfId="37195"/>
    <cellStyle name="Normal 7 2 2 2 87 7" xfId="41926"/>
    <cellStyle name="Normal 7 2 2 2 88" xfId="13023"/>
    <cellStyle name="Normal 7 2 2 2 89" xfId="12380"/>
    <cellStyle name="Normal 7 2 2 2 9" xfId="4560"/>
    <cellStyle name="Normal 7 2 2 2 9 2" xfId="6455"/>
    <cellStyle name="Normal 7 2 2 2 9 3" xfId="18565"/>
    <cellStyle name="Normal 7 2 2 2 9 4" xfId="23608"/>
    <cellStyle name="Normal 7 2 2 2 9 5" xfId="28569"/>
    <cellStyle name="Normal 7 2 2 2 9 6" xfId="33427"/>
    <cellStyle name="Normal 7 2 2 2 9 7" xfId="38158"/>
    <cellStyle name="Normal 7 2 2 2 90" xfId="14162"/>
    <cellStyle name="Normal 7 2 2 2 91" xfId="17866"/>
    <cellStyle name="Normal 7 2 2 2 92" xfId="22914"/>
    <cellStyle name="Normal 7 2 2 2 93" xfId="27880"/>
    <cellStyle name="Normal 7 2 2 3" xfId="2520"/>
    <cellStyle name="Normal 7 2 2 3 2" xfId="13066"/>
    <cellStyle name="Normal 7 2 2 3 3" xfId="11672"/>
    <cellStyle name="Normal 7 2 2 3 4" xfId="13174"/>
    <cellStyle name="Normal 7 2 2 3 5" xfId="12395"/>
    <cellStyle name="Normal 7 2 2 3 6" xfId="14157"/>
    <cellStyle name="Normal 7 2 2 3 7" xfId="17861"/>
    <cellStyle name="Normal 7 2 2 4" xfId="12244"/>
    <cellStyle name="Normal 7 2 2 5" xfId="14023"/>
    <cellStyle name="Normal 7 2 2 6" xfId="17741"/>
    <cellStyle name="Normal 7 2 2 7" xfId="22812"/>
    <cellStyle name="Normal 7 2 2 8" xfId="27804"/>
    <cellStyle name="Normal 7 2 2 9" xfId="32693"/>
    <cellStyle name="Normal 7 2 20" xfId="5167"/>
    <cellStyle name="Normal 7 2 20 2" xfId="6704"/>
    <cellStyle name="Normal 7 2 20 3" xfId="18825"/>
    <cellStyle name="Normal 7 2 20 4" xfId="23868"/>
    <cellStyle name="Normal 7 2 20 5" xfId="28829"/>
    <cellStyle name="Normal 7 2 20 6" xfId="33687"/>
    <cellStyle name="Normal 7 2 20 7" xfId="38418"/>
    <cellStyle name="Normal 7 2 21" xfId="5305"/>
    <cellStyle name="Normal 7 2 21 2" xfId="6833"/>
    <cellStyle name="Normal 7 2 21 3" xfId="18954"/>
    <cellStyle name="Normal 7 2 21 4" xfId="23997"/>
    <cellStyle name="Normal 7 2 21 5" xfId="28958"/>
    <cellStyle name="Normal 7 2 21 6" xfId="33816"/>
    <cellStyle name="Normal 7 2 21 7" xfId="38547"/>
    <cellStyle name="Normal 7 2 22" xfId="5571"/>
    <cellStyle name="Normal 7 2 22 2" xfId="6853"/>
    <cellStyle name="Normal 7 2 22 3" xfId="18974"/>
    <cellStyle name="Normal 7 2 22 4" xfId="24017"/>
    <cellStyle name="Normal 7 2 22 5" xfId="28978"/>
    <cellStyle name="Normal 7 2 22 6" xfId="33836"/>
    <cellStyle name="Normal 7 2 22 7" xfId="38567"/>
    <cellStyle name="Normal 7 2 23" xfId="5608"/>
    <cellStyle name="Normal 7 2 23 2" xfId="6863"/>
    <cellStyle name="Normal 7 2 23 3" xfId="18984"/>
    <cellStyle name="Normal 7 2 23 4" xfId="24027"/>
    <cellStyle name="Normal 7 2 23 5" xfId="28988"/>
    <cellStyle name="Normal 7 2 23 6" xfId="33846"/>
    <cellStyle name="Normal 7 2 23 7" xfId="38577"/>
    <cellStyle name="Normal 7 2 24" xfId="5619"/>
    <cellStyle name="Normal 7 2 24 2" xfId="7018"/>
    <cellStyle name="Normal 7 2 24 3" xfId="19157"/>
    <cellStyle name="Normal 7 2 24 4" xfId="24200"/>
    <cellStyle name="Normal 7 2 24 5" xfId="29161"/>
    <cellStyle name="Normal 7 2 24 6" xfId="34019"/>
    <cellStyle name="Normal 7 2 24 7" xfId="38750"/>
    <cellStyle name="Normal 7 2 25" xfId="5629"/>
    <cellStyle name="Normal 7 2 25 2" xfId="7332"/>
    <cellStyle name="Normal 7 2 25 3" xfId="19504"/>
    <cellStyle name="Normal 7 2 25 4" xfId="24547"/>
    <cellStyle name="Normal 7 2 25 5" xfId="29508"/>
    <cellStyle name="Normal 7 2 25 6" xfId="34366"/>
    <cellStyle name="Normal 7 2 25 7" xfId="39097"/>
    <cellStyle name="Normal 7 2 26" xfId="5639"/>
    <cellStyle name="Normal 7 2 26 2" xfId="7379"/>
    <cellStyle name="Normal 7 2 26 3" xfId="19552"/>
    <cellStyle name="Normal 7 2 26 4" xfId="24595"/>
    <cellStyle name="Normal 7 2 26 5" xfId="29556"/>
    <cellStyle name="Normal 7 2 26 6" xfId="34414"/>
    <cellStyle name="Normal 7 2 26 7" xfId="39145"/>
    <cellStyle name="Normal 7 2 27" xfId="5649"/>
    <cellStyle name="Normal 7 2 27 2" xfId="7391"/>
    <cellStyle name="Normal 7 2 27 3" xfId="19564"/>
    <cellStyle name="Normal 7 2 27 4" xfId="24607"/>
    <cellStyle name="Normal 7 2 27 5" xfId="29568"/>
    <cellStyle name="Normal 7 2 27 6" xfId="34426"/>
    <cellStyle name="Normal 7 2 27 7" xfId="39157"/>
    <cellStyle name="Normal 7 2 28" xfId="5659"/>
    <cellStyle name="Normal 7 2 28 2" xfId="7402"/>
    <cellStyle name="Normal 7 2 28 3" xfId="19575"/>
    <cellStyle name="Normal 7 2 28 4" xfId="24618"/>
    <cellStyle name="Normal 7 2 28 5" xfId="29579"/>
    <cellStyle name="Normal 7 2 28 6" xfId="34437"/>
    <cellStyle name="Normal 7 2 28 7" xfId="39168"/>
    <cellStyle name="Normal 7 2 29" xfId="5669"/>
    <cellStyle name="Normal 7 2 29 2" xfId="7412"/>
    <cellStyle name="Normal 7 2 29 3" xfId="19585"/>
    <cellStyle name="Normal 7 2 29 4" xfId="24628"/>
    <cellStyle name="Normal 7 2 29 5" xfId="29589"/>
    <cellStyle name="Normal 7 2 29 6" xfId="34447"/>
    <cellStyle name="Normal 7 2 29 7" xfId="39178"/>
    <cellStyle name="Normal 7 2 3" xfId="1349"/>
    <cellStyle name="Normal 7 2 3 2" xfId="2504"/>
    <cellStyle name="Normal 7 2 3 2 10" xfId="4700"/>
    <cellStyle name="Normal 7 2 3 2 10 2" xfId="6379"/>
    <cellStyle name="Normal 7 2 3 2 10 3" xfId="18489"/>
    <cellStyle name="Normal 7 2 3 2 10 4" xfId="23532"/>
    <cellStyle name="Normal 7 2 3 2 10 5" xfId="28493"/>
    <cellStyle name="Normal 7 2 3 2 10 6" xfId="33351"/>
    <cellStyle name="Normal 7 2 3 2 10 7" xfId="38082"/>
    <cellStyle name="Normal 7 2 3 2 11" xfId="4857"/>
    <cellStyle name="Normal 7 2 3 2 11 2" xfId="6357"/>
    <cellStyle name="Normal 7 2 3 2 11 3" xfId="18465"/>
    <cellStyle name="Normal 7 2 3 2 11 4" xfId="23508"/>
    <cellStyle name="Normal 7 2 3 2 11 5" xfId="28469"/>
    <cellStyle name="Normal 7 2 3 2 11 6" xfId="33327"/>
    <cellStyle name="Normal 7 2 3 2 11 7" xfId="38058"/>
    <cellStyle name="Normal 7 2 3 2 12" xfId="4769"/>
    <cellStyle name="Normal 7 2 3 2 12 2" xfId="6487"/>
    <cellStyle name="Normal 7 2 3 2 12 3" xfId="18597"/>
    <cellStyle name="Normal 7 2 3 2 12 4" xfId="23640"/>
    <cellStyle name="Normal 7 2 3 2 12 5" xfId="28601"/>
    <cellStyle name="Normal 7 2 3 2 12 6" xfId="33459"/>
    <cellStyle name="Normal 7 2 3 2 12 7" xfId="38190"/>
    <cellStyle name="Normal 7 2 3 2 13" xfId="4745"/>
    <cellStyle name="Normal 7 2 3 2 13 2" xfId="6023"/>
    <cellStyle name="Normal 7 2 3 2 13 3" xfId="18127"/>
    <cellStyle name="Normal 7 2 3 2 13 4" xfId="23170"/>
    <cellStyle name="Normal 7 2 3 2 13 5" xfId="28131"/>
    <cellStyle name="Normal 7 2 3 2 13 6" xfId="32989"/>
    <cellStyle name="Normal 7 2 3 2 13 7" xfId="37720"/>
    <cellStyle name="Normal 7 2 3 2 14" xfId="4823"/>
    <cellStyle name="Normal 7 2 3 2 14 2" xfId="6119"/>
    <cellStyle name="Normal 7 2 3 2 14 3" xfId="18223"/>
    <cellStyle name="Normal 7 2 3 2 14 4" xfId="23266"/>
    <cellStyle name="Normal 7 2 3 2 14 5" xfId="28227"/>
    <cellStyle name="Normal 7 2 3 2 14 6" xfId="33085"/>
    <cellStyle name="Normal 7 2 3 2 14 7" xfId="37816"/>
    <cellStyle name="Normal 7 2 3 2 15" xfId="5082"/>
    <cellStyle name="Normal 7 2 3 2 15 2" xfId="6170"/>
    <cellStyle name="Normal 7 2 3 2 15 3" xfId="18274"/>
    <cellStyle name="Normal 7 2 3 2 15 4" xfId="23317"/>
    <cellStyle name="Normal 7 2 3 2 15 5" xfId="28278"/>
    <cellStyle name="Normal 7 2 3 2 15 6" xfId="33136"/>
    <cellStyle name="Normal 7 2 3 2 15 7" xfId="37867"/>
    <cellStyle name="Normal 7 2 3 2 16" xfId="4988"/>
    <cellStyle name="Normal 7 2 3 2 16 2" xfId="6297"/>
    <cellStyle name="Normal 7 2 3 2 16 3" xfId="18404"/>
    <cellStyle name="Normal 7 2 3 2 16 4" xfId="23447"/>
    <cellStyle name="Normal 7 2 3 2 16 5" xfId="28408"/>
    <cellStyle name="Normal 7 2 3 2 16 6" xfId="33266"/>
    <cellStyle name="Normal 7 2 3 2 16 7" xfId="37997"/>
    <cellStyle name="Normal 7 2 3 2 17" xfId="5066"/>
    <cellStyle name="Normal 7 2 3 2 17 2" xfId="6327"/>
    <cellStyle name="Normal 7 2 3 2 17 3" xfId="18435"/>
    <cellStyle name="Normal 7 2 3 2 17 4" xfId="23478"/>
    <cellStyle name="Normal 7 2 3 2 17 5" xfId="28439"/>
    <cellStyle name="Normal 7 2 3 2 17 6" xfId="33297"/>
    <cellStyle name="Normal 7 2 3 2 17 7" xfId="38028"/>
    <cellStyle name="Normal 7 2 3 2 18" xfId="5121"/>
    <cellStyle name="Normal 7 2 3 2 18 2" xfId="6776"/>
    <cellStyle name="Normal 7 2 3 2 18 3" xfId="18897"/>
    <cellStyle name="Normal 7 2 3 2 18 4" xfId="23940"/>
    <cellStyle name="Normal 7 2 3 2 18 5" xfId="28901"/>
    <cellStyle name="Normal 7 2 3 2 18 6" xfId="33759"/>
    <cellStyle name="Normal 7 2 3 2 18 7" xfId="38490"/>
    <cellStyle name="Normal 7 2 3 2 19" xfId="5436"/>
    <cellStyle name="Normal 7 2 3 2 19 2" xfId="6688"/>
    <cellStyle name="Normal 7 2 3 2 19 3" xfId="18809"/>
    <cellStyle name="Normal 7 2 3 2 19 4" xfId="23852"/>
    <cellStyle name="Normal 7 2 3 2 19 5" xfId="28813"/>
    <cellStyle name="Normal 7 2 3 2 19 6" xfId="33671"/>
    <cellStyle name="Normal 7 2 3 2 19 7" xfId="38402"/>
    <cellStyle name="Normal 7 2 3 2 2" xfId="4301"/>
    <cellStyle name="Normal 7 2 3 2 2 2" xfId="6215"/>
    <cellStyle name="Normal 7 2 3 2 2 3" xfId="18319"/>
    <cellStyle name="Normal 7 2 3 2 2 4" xfId="23362"/>
    <cellStyle name="Normal 7 2 3 2 2 5" xfId="28323"/>
    <cellStyle name="Normal 7 2 3 2 2 6" xfId="33181"/>
    <cellStyle name="Normal 7 2 3 2 2 7" xfId="37912"/>
    <cellStyle name="Normal 7 2 3 2 20" xfId="5249"/>
    <cellStyle name="Normal 7 2 3 2 20 2" xfId="6668"/>
    <cellStyle name="Normal 7 2 3 2 20 3" xfId="18788"/>
    <cellStyle name="Normal 7 2 3 2 20 4" xfId="23831"/>
    <cellStyle name="Normal 7 2 3 2 20 5" xfId="28792"/>
    <cellStyle name="Normal 7 2 3 2 20 6" xfId="33650"/>
    <cellStyle name="Normal 7 2 3 2 20 7" xfId="38381"/>
    <cellStyle name="Normal 7 2 3 2 21" xfId="5193"/>
    <cellStyle name="Normal 7 2 3 2 21 2" xfId="6819"/>
    <cellStyle name="Normal 7 2 3 2 21 3" xfId="18940"/>
    <cellStyle name="Normal 7 2 3 2 21 4" xfId="23983"/>
    <cellStyle name="Normal 7 2 3 2 21 5" xfId="28944"/>
    <cellStyle name="Normal 7 2 3 2 21 6" xfId="33802"/>
    <cellStyle name="Normal 7 2 3 2 21 7" xfId="38533"/>
    <cellStyle name="Normal 7 2 3 2 22" xfId="5370"/>
    <cellStyle name="Normal 7 2 3 2 22 2" xfId="7180"/>
    <cellStyle name="Normal 7 2 3 2 22 3" xfId="19335"/>
    <cellStyle name="Normal 7 2 3 2 22 4" xfId="24378"/>
    <cellStyle name="Normal 7 2 3 2 22 5" xfId="29339"/>
    <cellStyle name="Normal 7 2 3 2 22 6" xfId="34197"/>
    <cellStyle name="Normal 7 2 3 2 22 7" xfId="38928"/>
    <cellStyle name="Normal 7 2 3 2 23" xfId="5199"/>
    <cellStyle name="Normal 7 2 3 2 23 2" xfId="6955"/>
    <cellStyle name="Normal 7 2 3 2 23 3" xfId="19086"/>
    <cellStyle name="Normal 7 2 3 2 23 4" xfId="24129"/>
    <cellStyle name="Normal 7 2 3 2 23 5" xfId="29090"/>
    <cellStyle name="Normal 7 2 3 2 23 6" xfId="33948"/>
    <cellStyle name="Normal 7 2 3 2 23 7" xfId="38679"/>
    <cellStyle name="Normal 7 2 3 2 24" xfId="5198"/>
    <cellStyle name="Normal 7 2 3 2 24 2" xfId="6903"/>
    <cellStyle name="Normal 7 2 3 2 24 3" xfId="19027"/>
    <cellStyle name="Normal 7 2 3 2 24 4" xfId="24070"/>
    <cellStyle name="Normal 7 2 3 2 24 5" xfId="29031"/>
    <cellStyle name="Normal 7 2 3 2 24 6" xfId="33889"/>
    <cellStyle name="Normal 7 2 3 2 24 7" xfId="38620"/>
    <cellStyle name="Normal 7 2 3 2 25" xfId="5345"/>
    <cellStyle name="Normal 7 2 3 2 25 2" xfId="7303"/>
    <cellStyle name="Normal 7 2 3 2 25 3" xfId="19472"/>
    <cellStyle name="Normal 7 2 3 2 25 4" xfId="24515"/>
    <cellStyle name="Normal 7 2 3 2 25 5" xfId="29476"/>
    <cellStyle name="Normal 7 2 3 2 25 6" xfId="34334"/>
    <cellStyle name="Normal 7 2 3 2 25 7" xfId="39065"/>
    <cellStyle name="Normal 7 2 3 2 26" xfId="5465"/>
    <cellStyle name="Normal 7 2 3 2 26 2" xfId="6926"/>
    <cellStyle name="Normal 7 2 3 2 26 3" xfId="19054"/>
    <cellStyle name="Normal 7 2 3 2 26 4" xfId="24097"/>
    <cellStyle name="Normal 7 2 3 2 26 5" xfId="29058"/>
    <cellStyle name="Normal 7 2 3 2 26 6" xfId="33916"/>
    <cellStyle name="Normal 7 2 3 2 26 7" xfId="38647"/>
    <cellStyle name="Normal 7 2 3 2 27" xfId="5551"/>
    <cellStyle name="Normal 7 2 3 2 27 2" xfId="7249"/>
    <cellStyle name="Normal 7 2 3 2 27 3" xfId="19411"/>
    <cellStyle name="Normal 7 2 3 2 27 4" xfId="24454"/>
    <cellStyle name="Normal 7 2 3 2 27 5" xfId="29415"/>
    <cellStyle name="Normal 7 2 3 2 27 6" xfId="34273"/>
    <cellStyle name="Normal 7 2 3 2 27 7" xfId="39004"/>
    <cellStyle name="Normal 7 2 3 2 28" xfId="5786"/>
    <cellStyle name="Normal 7 2 3 2 28 2" xfId="14408"/>
    <cellStyle name="Normal 7 2 3 2 28 3" xfId="19401"/>
    <cellStyle name="Normal 7 2 3 2 28 4" xfId="24444"/>
    <cellStyle name="Normal 7 2 3 2 28 5" xfId="29405"/>
    <cellStyle name="Normal 7 2 3 2 28 6" xfId="34263"/>
    <cellStyle name="Normal 7 2 3 2 28 7" xfId="38994"/>
    <cellStyle name="Normal 7 2 3 2 29" xfId="7010"/>
    <cellStyle name="Normal 7 2 3 2 29 2" xfId="14300"/>
    <cellStyle name="Normal 7 2 3 2 29 3" xfId="19149"/>
    <cellStyle name="Normal 7 2 3 2 29 4" xfId="24192"/>
    <cellStyle name="Normal 7 2 3 2 29 5" xfId="29153"/>
    <cellStyle name="Normal 7 2 3 2 29 6" xfId="34011"/>
    <cellStyle name="Normal 7 2 3 2 29 7" xfId="38742"/>
    <cellStyle name="Normal 7 2 3 2 3" xfId="4227"/>
    <cellStyle name="Normal 7 2 3 2 3 2" xfId="5901"/>
    <cellStyle name="Normal 7 2 3 2 3 3" xfId="18003"/>
    <cellStyle name="Normal 7 2 3 2 3 4" xfId="23046"/>
    <cellStyle name="Normal 7 2 3 2 3 5" xfId="28007"/>
    <cellStyle name="Normal 7 2 3 2 3 6" xfId="32865"/>
    <cellStyle name="Normal 7 2 3 2 3 7" xfId="37596"/>
    <cellStyle name="Normal 7 2 3 2 30" xfId="7290"/>
    <cellStyle name="Normal 7 2 3 2 30 2" xfId="14434"/>
    <cellStyle name="Normal 7 2 3 2 30 3" xfId="19457"/>
    <cellStyle name="Normal 7 2 3 2 30 4" xfId="24500"/>
    <cellStyle name="Normal 7 2 3 2 30 5" xfId="29461"/>
    <cellStyle name="Normal 7 2 3 2 30 6" xfId="34319"/>
    <cellStyle name="Normal 7 2 3 2 30 7" xfId="39050"/>
    <cellStyle name="Normal 7 2 3 2 31" xfId="7275"/>
    <cellStyle name="Normal 7 2 3 2 31 2" xfId="14425"/>
    <cellStyle name="Normal 7 2 3 2 31 3" xfId="19441"/>
    <cellStyle name="Normal 7 2 3 2 31 4" xfId="24484"/>
    <cellStyle name="Normal 7 2 3 2 31 5" xfId="29445"/>
    <cellStyle name="Normal 7 2 3 2 31 6" xfId="34303"/>
    <cellStyle name="Normal 7 2 3 2 31 7" xfId="39034"/>
    <cellStyle name="Normal 7 2 3 2 32" xfId="7364"/>
    <cellStyle name="Normal 7 2 3 2 32 2" xfId="14477"/>
    <cellStyle name="Normal 7 2 3 2 32 3" xfId="19537"/>
    <cellStyle name="Normal 7 2 3 2 32 4" xfId="24580"/>
    <cellStyle name="Normal 7 2 3 2 32 5" xfId="29541"/>
    <cellStyle name="Normal 7 2 3 2 32 6" xfId="34399"/>
    <cellStyle name="Normal 7 2 3 2 32 7" xfId="39130"/>
    <cellStyle name="Normal 7 2 3 2 33" xfId="7039"/>
    <cellStyle name="Normal 7 2 3 2 33 2" xfId="14310"/>
    <cellStyle name="Normal 7 2 3 2 33 3" xfId="19180"/>
    <cellStyle name="Normal 7 2 3 2 33 4" xfId="24223"/>
    <cellStyle name="Normal 7 2 3 2 33 5" xfId="29184"/>
    <cellStyle name="Normal 7 2 3 2 33 6" xfId="34042"/>
    <cellStyle name="Normal 7 2 3 2 33 7" xfId="38773"/>
    <cellStyle name="Normal 7 2 3 2 34" xfId="7841"/>
    <cellStyle name="Normal 7 2 3 2 34 2" xfId="14921"/>
    <cellStyle name="Normal 7 2 3 2 34 3" xfId="20038"/>
    <cellStyle name="Normal 7 2 3 2 34 4" xfId="25081"/>
    <cellStyle name="Normal 7 2 3 2 34 5" xfId="30042"/>
    <cellStyle name="Normal 7 2 3 2 34 6" xfId="34900"/>
    <cellStyle name="Normal 7 2 3 2 34 7" xfId="39631"/>
    <cellStyle name="Normal 7 2 3 2 35" xfId="7560"/>
    <cellStyle name="Normal 7 2 3 2 35 2" xfId="14640"/>
    <cellStyle name="Normal 7 2 3 2 35 3" xfId="19757"/>
    <cellStyle name="Normal 7 2 3 2 35 4" xfId="24800"/>
    <cellStyle name="Normal 7 2 3 2 35 5" xfId="29761"/>
    <cellStyle name="Normal 7 2 3 2 35 6" xfId="34619"/>
    <cellStyle name="Normal 7 2 3 2 35 7" xfId="39350"/>
    <cellStyle name="Normal 7 2 3 2 36" xfId="7495"/>
    <cellStyle name="Normal 7 2 3 2 36 2" xfId="14571"/>
    <cellStyle name="Normal 7 2 3 2 36 3" xfId="19688"/>
    <cellStyle name="Normal 7 2 3 2 36 4" xfId="24731"/>
    <cellStyle name="Normal 7 2 3 2 36 5" xfId="29692"/>
    <cellStyle name="Normal 7 2 3 2 36 6" xfId="34550"/>
    <cellStyle name="Normal 7 2 3 2 36 7" xfId="39281"/>
    <cellStyle name="Normal 7 2 3 2 37" xfId="8006"/>
    <cellStyle name="Normal 7 2 3 2 37 2" xfId="15086"/>
    <cellStyle name="Normal 7 2 3 2 37 3" xfId="20203"/>
    <cellStyle name="Normal 7 2 3 2 37 4" xfId="25246"/>
    <cellStyle name="Normal 7 2 3 2 37 5" xfId="30207"/>
    <cellStyle name="Normal 7 2 3 2 37 6" xfId="35065"/>
    <cellStyle name="Normal 7 2 3 2 37 7" xfId="39796"/>
    <cellStyle name="Normal 7 2 3 2 38" xfId="7524"/>
    <cellStyle name="Normal 7 2 3 2 38 2" xfId="14602"/>
    <cellStyle name="Normal 7 2 3 2 38 3" xfId="19719"/>
    <cellStyle name="Normal 7 2 3 2 38 4" xfId="24762"/>
    <cellStyle name="Normal 7 2 3 2 38 5" xfId="29723"/>
    <cellStyle name="Normal 7 2 3 2 38 6" xfId="34581"/>
    <cellStyle name="Normal 7 2 3 2 38 7" xfId="39312"/>
    <cellStyle name="Normal 7 2 3 2 39" xfId="7930"/>
    <cellStyle name="Normal 7 2 3 2 39 2" xfId="15010"/>
    <cellStyle name="Normal 7 2 3 2 39 3" xfId="20127"/>
    <cellStyle name="Normal 7 2 3 2 39 4" xfId="25170"/>
    <cellStyle name="Normal 7 2 3 2 39 5" xfId="30131"/>
    <cellStyle name="Normal 7 2 3 2 39 6" xfId="34989"/>
    <cellStyle name="Normal 7 2 3 2 39 7" xfId="39720"/>
    <cellStyle name="Normal 7 2 3 2 4" xfId="4298"/>
    <cellStyle name="Normal 7 2 3 2 4 2" xfId="5829"/>
    <cellStyle name="Normal 7 2 3 2 4 3" xfId="17928"/>
    <cellStyle name="Normal 7 2 3 2 4 4" xfId="22971"/>
    <cellStyle name="Normal 7 2 3 2 4 5" xfId="27932"/>
    <cellStyle name="Normal 7 2 3 2 4 6" xfId="32790"/>
    <cellStyle name="Normal 7 2 3 2 4 7" xfId="37521"/>
    <cellStyle name="Normal 7 2 3 2 40" xfId="7918"/>
    <cellStyle name="Normal 7 2 3 2 40 2" xfId="14998"/>
    <cellStyle name="Normal 7 2 3 2 40 3" xfId="20115"/>
    <cellStyle name="Normal 7 2 3 2 40 4" xfId="25158"/>
    <cellStyle name="Normal 7 2 3 2 40 5" xfId="30119"/>
    <cellStyle name="Normal 7 2 3 2 40 6" xfId="34977"/>
    <cellStyle name="Normal 7 2 3 2 40 7" xfId="39708"/>
    <cellStyle name="Normal 7 2 3 2 41" xfId="7636"/>
    <cellStyle name="Normal 7 2 3 2 41 2" xfId="14716"/>
    <cellStyle name="Normal 7 2 3 2 41 3" xfId="19833"/>
    <cellStyle name="Normal 7 2 3 2 41 4" xfId="24876"/>
    <cellStyle name="Normal 7 2 3 2 41 5" xfId="29837"/>
    <cellStyle name="Normal 7 2 3 2 41 6" xfId="34695"/>
    <cellStyle name="Normal 7 2 3 2 41 7" xfId="39426"/>
    <cellStyle name="Normal 7 2 3 2 42" xfId="7988"/>
    <cellStyle name="Normal 7 2 3 2 42 2" xfId="15068"/>
    <cellStyle name="Normal 7 2 3 2 42 3" xfId="20185"/>
    <cellStyle name="Normal 7 2 3 2 42 4" xfId="25228"/>
    <cellStyle name="Normal 7 2 3 2 42 5" xfId="30189"/>
    <cellStyle name="Normal 7 2 3 2 42 6" xfId="35047"/>
    <cellStyle name="Normal 7 2 3 2 42 7" xfId="39778"/>
    <cellStyle name="Normal 7 2 3 2 43" xfId="7967"/>
    <cellStyle name="Normal 7 2 3 2 43 2" xfId="15047"/>
    <cellStyle name="Normal 7 2 3 2 43 3" xfId="20164"/>
    <cellStyle name="Normal 7 2 3 2 43 4" xfId="25207"/>
    <cellStyle name="Normal 7 2 3 2 43 5" xfId="30168"/>
    <cellStyle name="Normal 7 2 3 2 43 6" xfId="35026"/>
    <cellStyle name="Normal 7 2 3 2 43 7" xfId="39757"/>
    <cellStyle name="Normal 7 2 3 2 44" xfId="8086"/>
    <cellStyle name="Normal 7 2 3 2 44 2" xfId="15166"/>
    <cellStyle name="Normal 7 2 3 2 44 3" xfId="20283"/>
    <cellStyle name="Normal 7 2 3 2 44 4" xfId="25326"/>
    <cellStyle name="Normal 7 2 3 2 44 5" xfId="30287"/>
    <cellStyle name="Normal 7 2 3 2 44 6" xfId="35145"/>
    <cellStyle name="Normal 7 2 3 2 44 7" xfId="39876"/>
    <cellStyle name="Normal 7 2 3 2 45" xfId="7670"/>
    <cellStyle name="Normal 7 2 3 2 45 2" xfId="14750"/>
    <cellStyle name="Normal 7 2 3 2 45 3" xfId="19867"/>
    <cellStyle name="Normal 7 2 3 2 45 4" xfId="24910"/>
    <cellStyle name="Normal 7 2 3 2 45 5" xfId="29871"/>
    <cellStyle name="Normal 7 2 3 2 45 6" xfId="34729"/>
    <cellStyle name="Normal 7 2 3 2 45 7" xfId="39460"/>
    <cellStyle name="Normal 7 2 3 2 46" xfId="7756"/>
    <cellStyle name="Normal 7 2 3 2 46 2" xfId="14836"/>
    <cellStyle name="Normal 7 2 3 2 46 3" xfId="19953"/>
    <cellStyle name="Normal 7 2 3 2 46 4" xfId="24996"/>
    <cellStyle name="Normal 7 2 3 2 46 5" xfId="29957"/>
    <cellStyle name="Normal 7 2 3 2 46 6" xfId="34815"/>
    <cellStyle name="Normal 7 2 3 2 46 7" xfId="39546"/>
    <cellStyle name="Normal 7 2 3 2 47" xfId="7800"/>
    <cellStyle name="Normal 7 2 3 2 47 2" xfId="14880"/>
    <cellStyle name="Normal 7 2 3 2 47 3" xfId="19997"/>
    <cellStyle name="Normal 7 2 3 2 47 4" xfId="25040"/>
    <cellStyle name="Normal 7 2 3 2 47 5" xfId="30001"/>
    <cellStyle name="Normal 7 2 3 2 47 6" xfId="34859"/>
    <cellStyle name="Normal 7 2 3 2 47 7" xfId="39590"/>
    <cellStyle name="Normal 7 2 3 2 48" xfId="8635"/>
    <cellStyle name="Normal 7 2 3 2 48 2" xfId="15716"/>
    <cellStyle name="Normal 7 2 3 2 48 3" xfId="20833"/>
    <cellStyle name="Normal 7 2 3 2 48 4" xfId="25876"/>
    <cellStyle name="Normal 7 2 3 2 48 5" xfId="30837"/>
    <cellStyle name="Normal 7 2 3 2 48 6" xfId="35695"/>
    <cellStyle name="Normal 7 2 3 2 48 7" xfId="40426"/>
    <cellStyle name="Normal 7 2 3 2 49" xfId="8342"/>
    <cellStyle name="Normal 7 2 3 2 49 2" xfId="15423"/>
    <cellStyle name="Normal 7 2 3 2 49 3" xfId="20540"/>
    <cellStyle name="Normal 7 2 3 2 49 4" xfId="25583"/>
    <cellStyle name="Normal 7 2 3 2 49 5" xfId="30544"/>
    <cellStyle name="Normal 7 2 3 2 49 6" xfId="35402"/>
    <cellStyle name="Normal 7 2 3 2 49 7" xfId="40133"/>
    <cellStyle name="Normal 7 2 3 2 5" xfId="4418"/>
    <cellStyle name="Normal 7 2 3 2 5 2" xfId="6397"/>
    <cellStyle name="Normal 7 2 3 2 5 3" xfId="18507"/>
    <cellStyle name="Normal 7 2 3 2 5 4" xfId="23550"/>
    <cellStyle name="Normal 7 2 3 2 5 5" xfId="28511"/>
    <cellStyle name="Normal 7 2 3 2 5 6" xfId="33369"/>
    <cellStyle name="Normal 7 2 3 2 5 7" xfId="38100"/>
    <cellStyle name="Normal 7 2 3 2 50" xfId="8268"/>
    <cellStyle name="Normal 7 2 3 2 50 2" xfId="15349"/>
    <cellStyle name="Normal 7 2 3 2 50 3" xfId="20466"/>
    <cellStyle name="Normal 7 2 3 2 50 4" xfId="25509"/>
    <cellStyle name="Normal 7 2 3 2 50 5" xfId="30470"/>
    <cellStyle name="Normal 7 2 3 2 50 6" xfId="35328"/>
    <cellStyle name="Normal 7 2 3 2 50 7" xfId="40059"/>
    <cellStyle name="Normal 7 2 3 2 51" xfId="8804"/>
    <cellStyle name="Normal 7 2 3 2 51 2" xfId="15885"/>
    <cellStyle name="Normal 7 2 3 2 51 3" xfId="21002"/>
    <cellStyle name="Normal 7 2 3 2 51 4" xfId="26045"/>
    <cellStyle name="Normal 7 2 3 2 51 5" xfId="31006"/>
    <cellStyle name="Normal 7 2 3 2 51 6" xfId="35864"/>
    <cellStyle name="Normal 7 2 3 2 51 7" xfId="40595"/>
    <cellStyle name="Normal 7 2 3 2 52" xfId="8304"/>
    <cellStyle name="Normal 7 2 3 2 52 2" xfId="15385"/>
    <cellStyle name="Normal 7 2 3 2 52 3" xfId="20502"/>
    <cellStyle name="Normal 7 2 3 2 52 4" xfId="25545"/>
    <cellStyle name="Normal 7 2 3 2 52 5" xfId="30506"/>
    <cellStyle name="Normal 7 2 3 2 52 6" xfId="35364"/>
    <cellStyle name="Normal 7 2 3 2 52 7" xfId="40095"/>
    <cellStyle name="Normal 7 2 3 2 53" xfId="8727"/>
    <cellStyle name="Normal 7 2 3 2 53 2" xfId="15808"/>
    <cellStyle name="Normal 7 2 3 2 53 3" xfId="20925"/>
    <cellStyle name="Normal 7 2 3 2 53 4" xfId="25968"/>
    <cellStyle name="Normal 7 2 3 2 53 5" xfId="30929"/>
    <cellStyle name="Normal 7 2 3 2 53 6" xfId="35787"/>
    <cellStyle name="Normal 7 2 3 2 53 7" xfId="40518"/>
    <cellStyle name="Normal 7 2 3 2 54" xfId="8717"/>
    <cellStyle name="Normal 7 2 3 2 54 2" xfId="15798"/>
    <cellStyle name="Normal 7 2 3 2 54 3" xfId="20915"/>
    <cellStyle name="Normal 7 2 3 2 54 4" xfId="25958"/>
    <cellStyle name="Normal 7 2 3 2 54 5" xfId="30919"/>
    <cellStyle name="Normal 7 2 3 2 54 6" xfId="35777"/>
    <cellStyle name="Normal 7 2 3 2 54 7" xfId="40508"/>
    <cellStyle name="Normal 7 2 3 2 55" xfId="8731"/>
    <cellStyle name="Normal 7 2 3 2 55 2" xfId="15812"/>
    <cellStyle name="Normal 7 2 3 2 55 3" xfId="20929"/>
    <cellStyle name="Normal 7 2 3 2 55 4" xfId="25972"/>
    <cellStyle name="Normal 7 2 3 2 55 5" xfId="30933"/>
    <cellStyle name="Normal 7 2 3 2 55 6" xfId="35791"/>
    <cellStyle name="Normal 7 2 3 2 55 7" xfId="40522"/>
    <cellStyle name="Normal 7 2 3 2 56" xfId="8687"/>
    <cellStyle name="Normal 7 2 3 2 56 2" xfId="15768"/>
    <cellStyle name="Normal 7 2 3 2 56 3" xfId="20885"/>
    <cellStyle name="Normal 7 2 3 2 56 4" xfId="25928"/>
    <cellStyle name="Normal 7 2 3 2 56 5" xfId="30889"/>
    <cellStyle name="Normal 7 2 3 2 56 6" xfId="35747"/>
    <cellStyle name="Normal 7 2 3 2 56 7" xfId="40478"/>
    <cellStyle name="Normal 7 2 3 2 57" xfId="8510"/>
    <cellStyle name="Normal 7 2 3 2 57 2" xfId="15591"/>
    <cellStyle name="Normal 7 2 3 2 57 3" xfId="20708"/>
    <cellStyle name="Normal 7 2 3 2 57 4" xfId="25751"/>
    <cellStyle name="Normal 7 2 3 2 57 5" xfId="30712"/>
    <cellStyle name="Normal 7 2 3 2 57 6" xfId="35570"/>
    <cellStyle name="Normal 7 2 3 2 57 7" xfId="40301"/>
    <cellStyle name="Normal 7 2 3 2 58" xfId="8307"/>
    <cellStyle name="Normal 7 2 3 2 58 2" xfId="15388"/>
    <cellStyle name="Normal 7 2 3 2 58 3" xfId="20505"/>
    <cellStyle name="Normal 7 2 3 2 58 4" xfId="25548"/>
    <cellStyle name="Normal 7 2 3 2 58 5" xfId="30509"/>
    <cellStyle name="Normal 7 2 3 2 58 6" xfId="35367"/>
    <cellStyle name="Normal 7 2 3 2 58 7" xfId="40098"/>
    <cellStyle name="Normal 7 2 3 2 59" xfId="8616"/>
    <cellStyle name="Normal 7 2 3 2 59 2" xfId="15697"/>
    <cellStyle name="Normal 7 2 3 2 59 3" xfId="20814"/>
    <cellStyle name="Normal 7 2 3 2 59 4" xfId="25857"/>
    <cellStyle name="Normal 7 2 3 2 59 5" xfId="30818"/>
    <cellStyle name="Normal 7 2 3 2 59 6" xfId="35676"/>
    <cellStyle name="Normal 7 2 3 2 59 7" xfId="40407"/>
    <cellStyle name="Normal 7 2 3 2 6" xfId="4474"/>
    <cellStyle name="Normal 7 2 3 2 6 2" xfId="5863"/>
    <cellStyle name="Normal 7 2 3 2 6 3" xfId="17963"/>
    <cellStyle name="Normal 7 2 3 2 6 4" xfId="23006"/>
    <cellStyle name="Normal 7 2 3 2 6 5" xfId="27967"/>
    <cellStyle name="Normal 7 2 3 2 6 6" xfId="32825"/>
    <cellStyle name="Normal 7 2 3 2 6 7" xfId="37556"/>
    <cellStyle name="Normal 7 2 3 2 60" xfId="8738"/>
    <cellStyle name="Normal 7 2 3 2 60 2" xfId="15819"/>
    <cellStyle name="Normal 7 2 3 2 60 3" xfId="20936"/>
    <cellStyle name="Normal 7 2 3 2 60 4" xfId="25979"/>
    <cellStyle name="Normal 7 2 3 2 60 5" xfId="30940"/>
    <cellStyle name="Normal 7 2 3 2 60 6" xfId="35798"/>
    <cellStyle name="Normal 7 2 3 2 60 7" xfId="40529"/>
    <cellStyle name="Normal 7 2 3 2 61" xfId="8318"/>
    <cellStyle name="Normal 7 2 3 2 61 2" xfId="15399"/>
    <cellStyle name="Normal 7 2 3 2 61 3" xfId="20516"/>
    <cellStyle name="Normal 7 2 3 2 61 4" xfId="25559"/>
    <cellStyle name="Normal 7 2 3 2 61 5" xfId="30520"/>
    <cellStyle name="Normal 7 2 3 2 61 6" xfId="35378"/>
    <cellStyle name="Normal 7 2 3 2 61 7" xfId="40109"/>
    <cellStyle name="Normal 7 2 3 2 62" xfId="8615"/>
    <cellStyle name="Normal 7 2 3 2 62 2" xfId="15696"/>
    <cellStyle name="Normal 7 2 3 2 62 3" xfId="20813"/>
    <cellStyle name="Normal 7 2 3 2 62 4" xfId="25856"/>
    <cellStyle name="Normal 7 2 3 2 62 5" xfId="30817"/>
    <cellStyle name="Normal 7 2 3 2 62 6" xfId="35675"/>
    <cellStyle name="Normal 7 2 3 2 62 7" xfId="40406"/>
    <cellStyle name="Normal 7 2 3 2 63" xfId="9395"/>
    <cellStyle name="Normal 7 2 3 2 63 2" xfId="16476"/>
    <cellStyle name="Normal 7 2 3 2 63 3" xfId="21593"/>
    <cellStyle name="Normal 7 2 3 2 63 4" xfId="26636"/>
    <cellStyle name="Normal 7 2 3 2 63 5" xfId="31597"/>
    <cellStyle name="Normal 7 2 3 2 63 6" xfId="36455"/>
    <cellStyle name="Normal 7 2 3 2 63 7" xfId="41186"/>
    <cellStyle name="Normal 7 2 3 2 64" xfId="9146"/>
    <cellStyle name="Normal 7 2 3 2 64 2" xfId="16227"/>
    <cellStyle name="Normal 7 2 3 2 64 3" xfId="21344"/>
    <cellStyle name="Normal 7 2 3 2 64 4" xfId="26387"/>
    <cellStyle name="Normal 7 2 3 2 64 5" xfId="31348"/>
    <cellStyle name="Normal 7 2 3 2 64 6" xfId="36206"/>
    <cellStyle name="Normal 7 2 3 2 64 7" xfId="40937"/>
    <cellStyle name="Normal 7 2 3 2 65" xfId="9087"/>
    <cellStyle name="Normal 7 2 3 2 65 2" xfId="16168"/>
    <cellStyle name="Normal 7 2 3 2 65 3" xfId="21285"/>
    <cellStyle name="Normal 7 2 3 2 65 4" xfId="26328"/>
    <cellStyle name="Normal 7 2 3 2 65 5" xfId="31289"/>
    <cellStyle name="Normal 7 2 3 2 65 6" xfId="36147"/>
    <cellStyle name="Normal 7 2 3 2 65 7" xfId="40878"/>
    <cellStyle name="Normal 7 2 3 2 66" xfId="9532"/>
    <cellStyle name="Normal 7 2 3 2 66 2" xfId="16613"/>
    <cellStyle name="Normal 7 2 3 2 66 3" xfId="21730"/>
    <cellStyle name="Normal 7 2 3 2 66 4" xfId="26773"/>
    <cellStyle name="Normal 7 2 3 2 66 5" xfId="31734"/>
    <cellStyle name="Normal 7 2 3 2 66 6" xfId="36592"/>
    <cellStyle name="Normal 7 2 3 2 66 7" xfId="41323"/>
    <cellStyle name="Normal 7 2 3 2 67" xfId="9114"/>
    <cellStyle name="Normal 7 2 3 2 67 2" xfId="16195"/>
    <cellStyle name="Normal 7 2 3 2 67 3" xfId="21312"/>
    <cellStyle name="Normal 7 2 3 2 67 4" xfId="26355"/>
    <cellStyle name="Normal 7 2 3 2 67 5" xfId="31316"/>
    <cellStyle name="Normal 7 2 3 2 67 6" xfId="36174"/>
    <cellStyle name="Normal 7 2 3 2 67 7" xfId="40905"/>
    <cellStyle name="Normal 7 2 3 2 68" xfId="9471"/>
    <cellStyle name="Normal 7 2 3 2 68 2" xfId="16552"/>
    <cellStyle name="Normal 7 2 3 2 68 3" xfId="21669"/>
    <cellStyle name="Normal 7 2 3 2 68 4" xfId="26712"/>
    <cellStyle name="Normal 7 2 3 2 68 5" xfId="31673"/>
    <cellStyle name="Normal 7 2 3 2 68 6" xfId="36531"/>
    <cellStyle name="Normal 7 2 3 2 68 7" xfId="41262"/>
    <cellStyle name="Normal 7 2 3 2 69" xfId="9461"/>
    <cellStyle name="Normal 7 2 3 2 69 2" xfId="16542"/>
    <cellStyle name="Normal 7 2 3 2 69 3" xfId="21659"/>
    <cellStyle name="Normal 7 2 3 2 69 4" xfId="26702"/>
    <cellStyle name="Normal 7 2 3 2 69 5" xfId="31663"/>
    <cellStyle name="Normal 7 2 3 2 69 6" xfId="36521"/>
    <cellStyle name="Normal 7 2 3 2 69 7" xfId="41252"/>
    <cellStyle name="Normal 7 2 3 2 7" xfId="4583"/>
    <cellStyle name="Normal 7 2 3 2 7 2" xfId="6313"/>
    <cellStyle name="Normal 7 2 3 2 7 3" xfId="18421"/>
    <cellStyle name="Normal 7 2 3 2 7 4" xfId="23464"/>
    <cellStyle name="Normal 7 2 3 2 7 5" xfId="28425"/>
    <cellStyle name="Normal 7 2 3 2 7 6" xfId="33283"/>
    <cellStyle name="Normal 7 2 3 2 7 7" xfId="38014"/>
    <cellStyle name="Normal 7 2 3 2 70" xfId="9209"/>
    <cellStyle name="Normal 7 2 3 2 70 2" xfId="16290"/>
    <cellStyle name="Normal 7 2 3 2 70 3" xfId="21407"/>
    <cellStyle name="Normal 7 2 3 2 70 4" xfId="26450"/>
    <cellStyle name="Normal 7 2 3 2 70 5" xfId="31411"/>
    <cellStyle name="Normal 7 2 3 2 70 6" xfId="36269"/>
    <cellStyle name="Normal 7 2 3 2 70 7" xfId="41000"/>
    <cellStyle name="Normal 7 2 3 2 71" xfId="9517"/>
    <cellStyle name="Normal 7 2 3 2 71 2" xfId="16598"/>
    <cellStyle name="Normal 7 2 3 2 71 3" xfId="21715"/>
    <cellStyle name="Normal 7 2 3 2 71 4" xfId="26758"/>
    <cellStyle name="Normal 7 2 3 2 71 5" xfId="31719"/>
    <cellStyle name="Normal 7 2 3 2 71 6" xfId="36577"/>
    <cellStyle name="Normal 7 2 3 2 71 7" xfId="41308"/>
    <cellStyle name="Normal 7 2 3 2 72" xfId="9501"/>
    <cellStyle name="Normal 7 2 3 2 72 2" xfId="16582"/>
    <cellStyle name="Normal 7 2 3 2 72 3" xfId="21699"/>
    <cellStyle name="Normal 7 2 3 2 72 4" xfId="26742"/>
    <cellStyle name="Normal 7 2 3 2 72 5" xfId="31703"/>
    <cellStyle name="Normal 7 2 3 2 72 6" xfId="36561"/>
    <cellStyle name="Normal 7 2 3 2 72 7" xfId="41292"/>
    <cellStyle name="Normal 7 2 3 2 73" xfId="9597"/>
    <cellStyle name="Normal 7 2 3 2 73 2" xfId="16678"/>
    <cellStyle name="Normal 7 2 3 2 73 3" xfId="21795"/>
    <cellStyle name="Normal 7 2 3 2 73 4" xfId="26838"/>
    <cellStyle name="Normal 7 2 3 2 73 5" xfId="31799"/>
    <cellStyle name="Normal 7 2 3 2 73 6" xfId="36657"/>
    <cellStyle name="Normal 7 2 3 2 73 7" xfId="41388"/>
    <cellStyle name="Normal 7 2 3 2 74" xfId="9240"/>
    <cellStyle name="Normal 7 2 3 2 74 2" xfId="16321"/>
    <cellStyle name="Normal 7 2 3 2 74 3" xfId="21438"/>
    <cellStyle name="Normal 7 2 3 2 74 4" xfId="26481"/>
    <cellStyle name="Normal 7 2 3 2 74 5" xfId="31442"/>
    <cellStyle name="Normal 7 2 3 2 74 6" xfId="36300"/>
    <cellStyle name="Normal 7 2 3 2 74 7" xfId="41031"/>
    <cellStyle name="Normal 7 2 3 2 75" xfId="9890"/>
    <cellStyle name="Normal 7 2 3 2 75 2" xfId="16971"/>
    <cellStyle name="Normal 7 2 3 2 75 3" xfId="22088"/>
    <cellStyle name="Normal 7 2 3 2 75 4" xfId="27131"/>
    <cellStyle name="Normal 7 2 3 2 75 5" xfId="32092"/>
    <cellStyle name="Normal 7 2 3 2 75 6" xfId="36950"/>
    <cellStyle name="Normal 7 2 3 2 75 7" xfId="41681"/>
    <cellStyle name="Normal 7 2 3 2 76" xfId="9763"/>
    <cellStyle name="Normal 7 2 3 2 76 2" xfId="16844"/>
    <cellStyle name="Normal 7 2 3 2 76 3" xfId="21961"/>
    <cellStyle name="Normal 7 2 3 2 76 4" xfId="27004"/>
    <cellStyle name="Normal 7 2 3 2 76 5" xfId="31965"/>
    <cellStyle name="Normal 7 2 3 2 76 6" xfId="36823"/>
    <cellStyle name="Normal 7 2 3 2 76 7" xfId="41554"/>
    <cellStyle name="Normal 7 2 3 2 77" xfId="9731"/>
    <cellStyle name="Normal 7 2 3 2 77 2" xfId="16812"/>
    <cellStyle name="Normal 7 2 3 2 77 3" xfId="21929"/>
    <cellStyle name="Normal 7 2 3 2 77 4" xfId="26972"/>
    <cellStyle name="Normal 7 2 3 2 77 5" xfId="31933"/>
    <cellStyle name="Normal 7 2 3 2 77 6" xfId="36791"/>
    <cellStyle name="Normal 7 2 3 2 77 7" xfId="41522"/>
    <cellStyle name="Normal 7 2 3 2 78" xfId="9962"/>
    <cellStyle name="Normal 7 2 3 2 78 2" xfId="17043"/>
    <cellStyle name="Normal 7 2 3 2 78 3" xfId="22160"/>
    <cellStyle name="Normal 7 2 3 2 78 4" xfId="27203"/>
    <cellStyle name="Normal 7 2 3 2 78 5" xfId="32164"/>
    <cellStyle name="Normal 7 2 3 2 78 6" xfId="37022"/>
    <cellStyle name="Normal 7 2 3 2 78 7" xfId="41753"/>
    <cellStyle name="Normal 7 2 3 2 79" xfId="9748"/>
    <cellStyle name="Normal 7 2 3 2 79 2" xfId="16829"/>
    <cellStyle name="Normal 7 2 3 2 79 3" xfId="21946"/>
    <cellStyle name="Normal 7 2 3 2 79 4" xfId="26989"/>
    <cellStyle name="Normal 7 2 3 2 79 5" xfId="31950"/>
    <cellStyle name="Normal 7 2 3 2 79 6" xfId="36808"/>
    <cellStyle name="Normal 7 2 3 2 79 7" xfId="41539"/>
    <cellStyle name="Normal 7 2 3 2 8" xfId="4514"/>
    <cellStyle name="Normal 7 2 3 2 8 2" xfId="6301"/>
    <cellStyle name="Normal 7 2 3 2 8 3" xfId="18408"/>
    <cellStyle name="Normal 7 2 3 2 8 4" xfId="23451"/>
    <cellStyle name="Normal 7 2 3 2 8 5" xfId="28412"/>
    <cellStyle name="Normal 7 2 3 2 8 6" xfId="33270"/>
    <cellStyle name="Normal 7 2 3 2 8 7" xfId="38001"/>
    <cellStyle name="Normal 7 2 3 2 80" xfId="9936"/>
    <cellStyle name="Normal 7 2 3 2 80 2" xfId="17017"/>
    <cellStyle name="Normal 7 2 3 2 80 3" xfId="22134"/>
    <cellStyle name="Normal 7 2 3 2 80 4" xfId="27177"/>
    <cellStyle name="Normal 7 2 3 2 80 5" xfId="32138"/>
    <cellStyle name="Normal 7 2 3 2 80 6" xfId="36996"/>
    <cellStyle name="Normal 7 2 3 2 80 7" xfId="41727"/>
    <cellStyle name="Normal 7 2 3 2 81" xfId="10220"/>
    <cellStyle name="Normal 7 2 3 2 81 2" xfId="17301"/>
    <cellStyle name="Normal 7 2 3 2 81 3" xfId="22418"/>
    <cellStyle name="Normal 7 2 3 2 81 4" xfId="27461"/>
    <cellStyle name="Normal 7 2 3 2 81 5" xfId="32422"/>
    <cellStyle name="Normal 7 2 3 2 81 6" xfId="37280"/>
    <cellStyle name="Normal 7 2 3 2 81 7" xfId="42011"/>
    <cellStyle name="Normal 7 2 3 2 82" xfId="10093"/>
    <cellStyle name="Normal 7 2 3 2 82 2" xfId="17174"/>
    <cellStyle name="Normal 7 2 3 2 82 3" xfId="22291"/>
    <cellStyle name="Normal 7 2 3 2 82 4" xfId="27334"/>
    <cellStyle name="Normal 7 2 3 2 82 5" xfId="32295"/>
    <cellStyle name="Normal 7 2 3 2 82 6" xfId="37153"/>
    <cellStyle name="Normal 7 2 3 2 82 7" xfId="41884"/>
    <cellStyle name="Normal 7 2 3 2 83" xfId="10061"/>
    <cellStyle name="Normal 7 2 3 2 83 2" xfId="17142"/>
    <cellStyle name="Normal 7 2 3 2 83 3" xfId="22259"/>
    <cellStyle name="Normal 7 2 3 2 83 4" xfId="27302"/>
    <cellStyle name="Normal 7 2 3 2 83 5" xfId="32263"/>
    <cellStyle name="Normal 7 2 3 2 83 6" xfId="37121"/>
    <cellStyle name="Normal 7 2 3 2 83 7" xfId="41852"/>
    <cellStyle name="Normal 7 2 3 2 84" xfId="10292"/>
    <cellStyle name="Normal 7 2 3 2 84 2" xfId="17373"/>
    <cellStyle name="Normal 7 2 3 2 84 3" xfId="22490"/>
    <cellStyle name="Normal 7 2 3 2 84 4" xfId="27533"/>
    <cellStyle name="Normal 7 2 3 2 84 5" xfId="32494"/>
    <cellStyle name="Normal 7 2 3 2 84 6" xfId="37352"/>
    <cellStyle name="Normal 7 2 3 2 84 7" xfId="42083"/>
    <cellStyle name="Normal 7 2 3 2 85" xfId="10078"/>
    <cellStyle name="Normal 7 2 3 2 85 2" xfId="17159"/>
    <cellStyle name="Normal 7 2 3 2 85 3" xfId="22276"/>
    <cellStyle name="Normal 7 2 3 2 85 4" xfId="27319"/>
    <cellStyle name="Normal 7 2 3 2 85 5" xfId="32280"/>
    <cellStyle name="Normal 7 2 3 2 85 6" xfId="37138"/>
    <cellStyle name="Normal 7 2 3 2 85 7" xfId="41869"/>
    <cellStyle name="Normal 7 2 3 2 86" xfId="10266"/>
    <cellStyle name="Normal 7 2 3 2 86 2" xfId="17347"/>
    <cellStyle name="Normal 7 2 3 2 86 3" xfId="22464"/>
    <cellStyle name="Normal 7 2 3 2 86 4" xfId="27507"/>
    <cellStyle name="Normal 7 2 3 2 86 5" xfId="32468"/>
    <cellStyle name="Normal 7 2 3 2 86 6" xfId="37326"/>
    <cellStyle name="Normal 7 2 3 2 86 7" xfId="42057"/>
    <cellStyle name="Normal 7 2 3 2 87" xfId="13050"/>
    <cellStyle name="Normal 7 2 3 2 88" xfId="11293"/>
    <cellStyle name="Normal 7 2 3 2 89" xfId="11927"/>
    <cellStyle name="Normal 7 2 3 2 9" xfId="4580"/>
    <cellStyle name="Normal 7 2 3 2 9 2" xfId="5984"/>
    <cellStyle name="Normal 7 2 3 2 9 3" xfId="18087"/>
    <cellStyle name="Normal 7 2 3 2 9 4" xfId="23130"/>
    <cellStyle name="Normal 7 2 3 2 9 5" xfId="28091"/>
    <cellStyle name="Normal 7 2 3 2 9 6" xfId="32949"/>
    <cellStyle name="Normal 7 2 3 2 9 7" xfId="37680"/>
    <cellStyle name="Normal 7 2 3 2 90" xfId="12669"/>
    <cellStyle name="Normal 7 2 3 2 91" xfId="12489"/>
    <cellStyle name="Normal 7 2 3 2 92" xfId="13194"/>
    <cellStyle name="Normal 7 2 3 3" xfId="12270"/>
    <cellStyle name="Normal 7 2 3 4" xfId="13114"/>
    <cellStyle name="Normal 7 2 3 5" xfId="12212"/>
    <cellStyle name="Normal 7 2 3 6" xfId="13884"/>
    <cellStyle name="Normal 7 2 3 7" xfId="17618"/>
    <cellStyle name="Normal 7 2 3 8" xfId="22707"/>
    <cellStyle name="Normal 7 2 30" xfId="5753"/>
    <cellStyle name="Normal 7 2 30 2" xfId="14486"/>
    <cellStyle name="Normal 7 2 30 3" xfId="19595"/>
    <cellStyle name="Normal 7 2 30 4" xfId="24638"/>
    <cellStyle name="Normal 7 2 30 5" xfId="29599"/>
    <cellStyle name="Normal 7 2 30 6" xfId="34457"/>
    <cellStyle name="Normal 7 2 30 7" xfId="39188"/>
    <cellStyle name="Normal 7 2 31" xfId="7430"/>
    <cellStyle name="Normal 7 2 31 2" xfId="14488"/>
    <cellStyle name="Normal 7 2 31 3" xfId="19605"/>
    <cellStyle name="Normal 7 2 31 4" xfId="24648"/>
    <cellStyle name="Normal 7 2 31 5" xfId="29609"/>
    <cellStyle name="Normal 7 2 31 6" xfId="34467"/>
    <cellStyle name="Normal 7 2 31 7" xfId="39198"/>
    <cellStyle name="Normal 7 2 32" xfId="7432"/>
    <cellStyle name="Normal 7 2 32 2" xfId="14498"/>
    <cellStyle name="Normal 7 2 32 3" xfId="19615"/>
    <cellStyle name="Normal 7 2 32 4" xfId="24658"/>
    <cellStyle name="Normal 7 2 32 5" xfId="29619"/>
    <cellStyle name="Normal 7 2 32 6" xfId="34477"/>
    <cellStyle name="Normal 7 2 32 7" xfId="39208"/>
    <cellStyle name="Normal 7 2 33" xfId="7434"/>
    <cellStyle name="Normal 7 2 33 2" xfId="14508"/>
    <cellStyle name="Normal 7 2 33 3" xfId="19625"/>
    <cellStyle name="Normal 7 2 33 4" xfId="24668"/>
    <cellStyle name="Normal 7 2 33 5" xfId="29629"/>
    <cellStyle name="Normal 7 2 33 6" xfId="34487"/>
    <cellStyle name="Normal 7 2 33 7" xfId="39218"/>
    <cellStyle name="Normal 7 2 34" xfId="7444"/>
    <cellStyle name="Normal 7 2 34 2" xfId="14518"/>
    <cellStyle name="Normal 7 2 34 3" xfId="19635"/>
    <cellStyle name="Normal 7 2 34 4" xfId="24678"/>
    <cellStyle name="Normal 7 2 34 5" xfId="29639"/>
    <cellStyle name="Normal 7 2 34 6" xfId="34497"/>
    <cellStyle name="Normal 7 2 34 7" xfId="39228"/>
    <cellStyle name="Normal 7 2 35" xfId="7454"/>
    <cellStyle name="Normal 7 2 35 2" xfId="14528"/>
    <cellStyle name="Normal 7 2 35 3" xfId="19645"/>
    <cellStyle name="Normal 7 2 35 4" xfId="24688"/>
    <cellStyle name="Normal 7 2 35 5" xfId="29649"/>
    <cellStyle name="Normal 7 2 35 6" xfId="34507"/>
    <cellStyle name="Normal 7 2 35 7" xfId="39238"/>
    <cellStyle name="Normal 7 2 36" xfId="7645"/>
    <cellStyle name="Normal 7 2 36 2" xfId="14725"/>
    <cellStyle name="Normal 7 2 36 3" xfId="19842"/>
    <cellStyle name="Normal 7 2 36 4" xfId="24885"/>
    <cellStyle name="Normal 7 2 36 5" xfId="29846"/>
    <cellStyle name="Normal 7 2 36 6" xfId="34704"/>
    <cellStyle name="Normal 7 2 36 7" xfId="39435"/>
    <cellStyle name="Normal 7 2 37" xfId="8047"/>
    <cellStyle name="Normal 7 2 37 2" xfId="15127"/>
    <cellStyle name="Normal 7 2 37 3" xfId="20244"/>
    <cellStyle name="Normal 7 2 37 4" xfId="25287"/>
    <cellStyle name="Normal 7 2 37 5" xfId="30248"/>
    <cellStyle name="Normal 7 2 37 6" xfId="35106"/>
    <cellStyle name="Normal 7 2 37 7" xfId="39837"/>
    <cellStyle name="Normal 7 2 38" xfId="8102"/>
    <cellStyle name="Normal 7 2 38 2" xfId="15182"/>
    <cellStyle name="Normal 7 2 38 3" xfId="20299"/>
    <cellStyle name="Normal 7 2 38 4" xfId="25342"/>
    <cellStyle name="Normal 7 2 38 5" xfId="30303"/>
    <cellStyle name="Normal 7 2 38 6" xfId="35161"/>
    <cellStyle name="Normal 7 2 38 7" xfId="39892"/>
    <cellStyle name="Normal 7 2 39" xfId="8115"/>
    <cellStyle name="Normal 7 2 39 2" xfId="15195"/>
    <cellStyle name="Normal 7 2 39 3" xfId="20312"/>
    <cellStyle name="Normal 7 2 39 4" xfId="25355"/>
    <cellStyle name="Normal 7 2 39 5" xfId="30316"/>
    <cellStyle name="Normal 7 2 39 6" xfId="35174"/>
    <cellStyle name="Normal 7 2 39 7" xfId="39905"/>
    <cellStyle name="Normal 7 2 4" xfId="4243"/>
    <cellStyle name="Normal 7 2 4 2" xfId="5997"/>
    <cellStyle name="Normal 7 2 4 3" xfId="18100"/>
    <cellStyle name="Normal 7 2 4 4" xfId="23143"/>
    <cellStyle name="Normal 7 2 4 5" xfId="28104"/>
    <cellStyle name="Normal 7 2 4 6" xfId="32962"/>
    <cellStyle name="Normal 7 2 4 7" xfId="37693"/>
    <cellStyle name="Normal 7 2 40" xfId="8128"/>
    <cellStyle name="Normal 7 2 40 2" xfId="15208"/>
    <cellStyle name="Normal 7 2 40 3" xfId="20325"/>
    <cellStyle name="Normal 7 2 40 4" xfId="25368"/>
    <cellStyle name="Normal 7 2 40 5" xfId="30329"/>
    <cellStyle name="Normal 7 2 40 6" xfId="35187"/>
    <cellStyle name="Normal 7 2 40 7" xfId="39918"/>
    <cellStyle name="Normal 7 2 41" xfId="8140"/>
    <cellStyle name="Normal 7 2 41 2" xfId="15220"/>
    <cellStyle name="Normal 7 2 41 3" xfId="20337"/>
    <cellStyle name="Normal 7 2 41 4" xfId="25380"/>
    <cellStyle name="Normal 7 2 41 5" xfId="30341"/>
    <cellStyle name="Normal 7 2 41 6" xfId="35199"/>
    <cellStyle name="Normal 7 2 41 7" xfId="39930"/>
    <cellStyle name="Normal 7 2 42" xfId="8151"/>
    <cellStyle name="Normal 7 2 42 2" xfId="15231"/>
    <cellStyle name="Normal 7 2 42 3" xfId="20348"/>
    <cellStyle name="Normal 7 2 42 4" xfId="25391"/>
    <cellStyle name="Normal 7 2 42 5" xfId="30352"/>
    <cellStyle name="Normal 7 2 42 6" xfId="35210"/>
    <cellStyle name="Normal 7 2 42 7" xfId="39941"/>
    <cellStyle name="Normal 7 2 43" xfId="8161"/>
    <cellStyle name="Normal 7 2 43 2" xfId="15241"/>
    <cellStyle name="Normal 7 2 43 3" xfId="20358"/>
    <cellStyle name="Normal 7 2 43 4" xfId="25401"/>
    <cellStyle name="Normal 7 2 43 5" xfId="30362"/>
    <cellStyle name="Normal 7 2 43 6" xfId="35220"/>
    <cellStyle name="Normal 7 2 43 7" xfId="39951"/>
    <cellStyle name="Normal 7 2 44" xfId="8171"/>
    <cellStyle name="Normal 7 2 44 2" xfId="15251"/>
    <cellStyle name="Normal 7 2 44 3" xfId="20368"/>
    <cellStyle name="Normal 7 2 44 4" xfId="25411"/>
    <cellStyle name="Normal 7 2 44 5" xfId="30372"/>
    <cellStyle name="Normal 7 2 44 6" xfId="35230"/>
    <cellStyle name="Normal 7 2 44 7" xfId="39961"/>
    <cellStyle name="Normal 7 2 45" xfId="8181"/>
    <cellStyle name="Normal 7 2 45 2" xfId="15261"/>
    <cellStyle name="Normal 7 2 45 3" xfId="20378"/>
    <cellStyle name="Normal 7 2 45 4" xfId="25421"/>
    <cellStyle name="Normal 7 2 45 5" xfId="30382"/>
    <cellStyle name="Normal 7 2 45 6" xfId="35240"/>
    <cellStyle name="Normal 7 2 45 7" xfId="39971"/>
    <cellStyle name="Normal 7 2 46" xfId="8191"/>
    <cellStyle name="Normal 7 2 46 2" xfId="15271"/>
    <cellStyle name="Normal 7 2 46 3" xfId="20388"/>
    <cellStyle name="Normal 7 2 46 4" xfId="25431"/>
    <cellStyle name="Normal 7 2 46 5" xfId="30392"/>
    <cellStyle name="Normal 7 2 46 6" xfId="35250"/>
    <cellStyle name="Normal 7 2 46 7" xfId="39981"/>
    <cellStyle name="Normal 7 2 47" xfId="8201"/>
    <cellStyle name="Normal 7 2 47 2" xfId="15281"/>
    <cellStyle name="Normal 7 2 47 3" xfId="20398"/>
    <cellStyle name="Normal 7 2 47 4" xfId="25441"/>
    <cellStyle name="Normal 7 2 47 5" xfId="30402"/>
    <cellStyle name="Normal 7 2 47 6" xfId="35260"/>
    <cellStyle name="Normal 7 2 47 7" xfId="39991"/>
    <cellStyle name="Normal 7 2 48" xfId="8211"/>
    <cellStyle name="Normal 7 2 48 2" xfId="15291"/>
    <cellStyle name="Normal 7 2 48 3" xfId="20408"/>
    <cellStyle name="Normal 7 2 48 4" xfId="25451"/>
    <cellStyle name="Normal 7 2 48 5" xfId="30412"/>
    <cellStyle name="Normal 7 2 48 6" xfId="35270"/>
    <cellStyle name="Normal 7 2 48 7" xfId="40001"/>
    <cellStyle name="Normal 7 2 49" xfId="8221"/>
    <cellStyle name="Normal 7 2 49 2" xfId="15301"/>
    <cellStyle name="Normal 7 2 49 3" xfId="20418"/>
    <cellStyle name="Normal 7 2 49 4" xfId="25461"/>
    <cellStyle name="Normal 7 2 49 5" xfId="30422"/>
    <cellStyle name="Normal 7 2 49 6" xfId="35280"/>
    <cellStyle name="Normal 7 2 49 7" xfId="40011"/>
    <cellStyle name="Normal 7 2 5" xfId="4338"/>
    <cellStyle name="Normal 7 2 5 2" xfId="6442"/>
    <cellStyle name="Normal 7 2 5 3" xfId="18552"/>
    <cellStyle name="Normal 7 2 5 4" xfId="23595"/>
    <cellStyle name="Normal 7 2 5 5" xfId="28556"/>
    <cellStyle name="Normal 7 2 5 6" xfId="33414"/>
    <cellStyle name="Normal 7 2 5 7" xfId="38145"/>
    <cellStyle name="Normal 7 2 50" xfId="8417"/>
    <cellStyle name="Normal 7 2 50 2" xfId="15498"/>
    <cellStyle name="Normal 7 2 50 3" xfId="20615"/>
    <cellStyle name="Normal 7 2 50 4" xfId="25658"/>
    <cellStyle name="Normal 7 2 50 5" xfId="30619"/>
    <cellStyle name="Normal 7 2 50 6" xfId="35477"/>
    <cellStyle name="Normal 7 2 50 7" xfId="40208"/>
    <cellStyle name="Normal 7 2 51" xfId="8844"/>
    <cellStyle name="Normal 7 2 51 2" xfId="15925"/>
    <cellStyle name="Normal 7 2 51 3" xfId="21042"/>
    <cellStyle name="Normal 7 2 51 4" xfId="26085"/>
    <cellStyle name="Normal 7 2 51 5" xfId="31046"/>
    <cellStyle name="Normal 7 2 51 6" xfId="35904"/>
    <cellStyle name="Normal 7 2 51 7" xfId="40635"/>
    <cellStyle name="Normal 7 2 52" xfId="8900"/>
    <cellStyle name="Normal 7 2 52 2" xfId="15981"/>
    <cellStyle name="Normal 7 2 52 3" xfId="21098"/>
    <cellStyle name="Normal 7 2 52 4" xfId="26141"/>
    <cellStyle name="Normal 7 2 52 5" xfId="31102"/>
    <cellStyle name="Normal 7 2 52 6" xfId="35960"/>
    <cellStyle name="Normal 7 2 52 7" xfId="40691"/>
    <cellStyle name="Normal 7 2 53" xfId="8914"/>
    <cellStyle name="Normal 7 2 53 2" xfId="15995"/>
    <cellStyle name="Normal 7 2 53 3" xfId="21112"/>
    <cellStyle name="Normal 7 2 53 4" xfId="26155"/>
    <cellStyle name="Normal 7 2 53 5" xfId="31116"/>
    <cellStyle name="Normal 7 2 53 6" xfId="35974"/>
    <cellStyle name="Normal 7 2 53 7" xfId="40705"/>
    <cellStyle name="Normal 7 2 54" xfId="8927"/>
    <cellStyle name="Normal 7 2 54 2" xfId="16008"/>
    <cellStyle name="Normal 7 2 54 3" xfId="21125"/>
    <cellStyle name="Normal 7 2 54 4" xfId="26168"/>
    <cellStyle name="Normal 7 2 54 5" xfId="31129"/>
    <cellStyle name="Normal 7 2 54 6" xfId="35987"/>
    <cellStyle name="Normal 7 2 54 7" xfId="40718"/>
    <cellStyle name="Normal 7 2 55" xfId="8944"/>
    <cellStyle name="Normal 7 2 55 2" xfId="16025"/>
    <cellStyle name="Normal 7 2 55 3" xfId="21142"/>
    <cellStyle name="Normal 7 2 55 4" xfId="26185"/>
    <cellStyle name="Normal 7 2 55 5" xfId="31146"/>
    <cellStyle name="Normal 7 2 55 6" xfId="36004"/>
    <cellStyle name="Normal 7 2 55 7" xfId="40735"/>
    <cellStyle name="Normal 7 2 56" xfId="8958"/>
    <cellStyle name="Normal 7 2 56 2" xfId="16039"/>
    <cellStyle name="Normal 7 2 56 3" xfId="21156"/>
    <cellStyle name="Normal 7 2 56 4" xfId="26199"/>
    <cellStyle name="Normal 7 2 56 5" xfId="31160"/>
    <cellStyle name="Normal 7 2 56 6" xfId="36018"/>
    <cellStyle name="Normal 7 2 56 7" xfId="40749"/>
    <cellStyle name="Normal 7 2 57" xfId="8246"/>
    <cellStyle name="Normal 7 2 57 2" xfId="15327"/>
    <cellStyle name="Normal 7 2 57 3" xfId="20444"/>
    <cellStyle name="Normal 7 2 57 4" xfId="25487"/>
    <cellStyle name="Normal 7 2 57 5" xfId="30448"/>
    <cellStyle name="Normal 7 2 57 6" xfId="35306"/>
    <cellStyle name="Normal 7 2 57 7" xfId="40037"/>
    <cellStyle name="Normal 7 2 58" xfId="8985"/>
    <cellStyle name="Normal 7 2 58 2" xfId="16066"/>
    <cellStyle name="Normal 7 2 58 3" xfId="21183"/>
    <cellStyle name="Normal 7 2 58 4" xfId="26226"/>
    <cellStyle name="Normal 7 2 58 5" xfId="31187"/>
    <cellStyle name="Normal 7 2 58 6" xfId="36045"/>
    <cellStyle name="Normal 7 2 58 7" xfId="40776"/>
    <cellStyle name="Normal 7 2 59" xfId="8995"/>
    <cellStyle name="Normal 7 2 59 2" xfId="16076"/>
    <cellStyle name="Normal 7 2 59 3" xfId="21193"/>
    <cellStyle name="Normal 7 2 59 4" xfId="26236"/>
    <cellStyle name="Normal 7 2 59 5" xfId="31197"/>
    <cellStyle name="Normal 7 2 59 6" xfId="36055"/>
    <cellStyle name="Normal 7 2 59 7" xfId="40786"/>
    <cellStyle name="Normal 7 2 6" xfId="4221"/>
    <cellStyle name="Normal 7 2 6 2" xfId="6495"/>
    <cellStyle name="Normal 7 2 6 3" xfId="18613"/>
    <cellStyle name="Normal 7 2 6 4" xfId="23656"/>
    <cellStyle name="Normal 7 2 6 5" xfId="28617"/>
    <cellStyle name="Normal 7 2 6 6" xfId="33475"/>
    <cellStyle name="Normal 7 2 6 7" xfId="38206"/>
    <cellStyle name="Normal 7 2 60" xfId="9005"/>
    <cellStyle name="Normal 7 2 60 2" xfId="16086"/>
    <cellStyle name="Normal 7 2 60 3" xfId="21203"/>
    <cellStyle name="Normal 7 2 60 4" xfId="26246"/>
    <cellStyle name="Normal 7 2 60 5" xfId="31207"/>
    <cellStyle name="Normal 7 2 60 6" xfId="36065"/>
    <cellStyle name="Normal 7 2 60 7" xfId="40796"/>
    <cellStyle name="Normal 7 2 61" xfId="9015"/>
    <cellStyle name="Normal 7 2 61 2" xfId="16096"/>
    <cellStyle name="Normal 7 2 61 3" xfId="21213"/>
    <cellStyle name="Normal 7 2 61 4" xfId="26256"/>
    <cellStyle name="Normal 7 2 61 5" xfId="31217"/>
    <cellStyle name="Normal 7 2 61 6" xfId="36075"/>
    <cellStyle name="Normal 7 2 61 7" xfId="40806"/>
    <cellStyle name="Normal 7 2 62" xfId="9025"/>
    <cellStyle name="Normal 7 2 62 2" xfId="16106"/>
    <cellStyle name="Normal 7 2 62 3" xfId="21223"/>
    <cellStyle name="Normal 7 2 62 4" xfId="26266"/>
    <cellStyle name="Normal 7 2 62 5" xfId="31227"/>
    <cellStyle name="Normal 7 2 62 6" xfId="36085"/>
    <cellStyle name="Normal 7 2 62 7" xfId="40816"/>
    <cellStyle name="Normal 7 2 63" xfId="9035"/>
    <cellStyle name="Normal 7 2 63 2" xfId="16116"/>
    <cellStyle name="Normal 7 2 63 3" xfId="21233"/>
    <cellStyle name="Normal 7 2 63 4" xfId="26276"/>
    <cellStyle name="Normal 7 2 63 5" xfId="31237"/>
    <cellStyle name="Normal 7 2 63 6" xfId="36095"/>
    <cellStyle name="Normal 7 2 63 7" xfId="40826"/>
    <cellStyle name="Normal 7 2 64" xfId="9045"/>
    <cellStyle name="Normal 7 2 64 2" xfId="16126"/>
    <cellStyle name="Normal 7 2 64 3" xfId="21243"/>
    <cellStyle name="Normal 7 2 64 4" xfId="26286"/>
    <cellStyle name="Normal 7 2 64 5" xfId="31247"/>
    <cellStyle name="Normal 7 2 64 6" xfId="36105"/>
    <cellStyle name="Normal 7 2 64 7" xfId="40836"/>
    <cellStyle name="Normal 7 2 65" xfId="9217"/>
    <cellStyle name="Normal 7 2 65 2" xfId="16298"/>
    <cellStyle name="Normal 7 2 65 3" xfId="21415"/>
    <cellStyle name="Normal 7 2 65 4" xfId="26458"/>
    <cellStyle name="Normal 7 2 65 5" xfId="31419"/>
    <cellStyle name="Normal 7 2 65 6" xfId="36277"/>
    <cellStyle name="Normal 7 2 65 7" xfId="41008"/>
    <cellStyle name="Normal 7 2 66" xfId="9564"/>
    <cellStyle name="Normal 7 2 66 2" xfId="16645"/>
    <cellStyle name="Normal 7 2 66 3" xfId="21762"/>
    <cellStyle name="Normal 7 2 66 4" xfId="26805"/>
    <cellStyle name="Normal 7 2 66 5" xfId="31766"/>
    <cellStyle name="Normal 7 2 66 6" xfId="36624"/>
    <cellStyle name="Normal 7 2 66 7" xfId="41355"/>
    <cellStyle name="Normal 7 2 67" xfId="9612"/>
    <cellStyle name="Normal 7 2 67 2" xfId="16693"/>
    <cellStyle name="Normal 7 2 67 3" xfId="21810"/>
    <cellStyle name="Normal 7 2 67 4" xfId="26853"/>
    <cellStyle name="Normal 7 2 67 5" xfId="31814"/>
    <cellStyle name="Normal 7 2 67 6" xfId="36672"/>
    <cellStyle name="Normal 7 2 67 7" xfId="41403"/>
    <cellStyle name="Normal 7 2 68" xfId="9624"/>
    <cellStyle name="Normal 7 2 68 2" xfId="16705"/>
    <cellStyle name="Normal 7 2 68 3" xfId="21822"/>
    <cellStyle name="Normal 7 2 68 4" xfId="26865"/>
    <cellStyle name="Normal 7 2 68 5" xfId="31826"/>
    <cellStyle name="Normal 7 2 68 6" xfId="36684"/>
    <cellStyle name="Normal 7 2 68 7" xfId="41415"/>
    <cellStyle name="Normal 7 2 69" xfId="9635"/>
    <cellStyle name="Normal 7 2 69 2" xfId="16716"/>
    <cellStyle name="Normal 7 2 69 3" xfId="21833"/>
    <cellStyle name="Normal 7 2 69 4" xfId="26876"/>
    <cellStyle name="Normal 7 2 69 5" xfId="31837"/>
    <cellStyle name="Normal 7 2 69 6" xfId="36695"/>
    <cellStyle name="Normal 7 2 69 7" xfId="41426"/>
    <cellStyle name="Normal 7 2 7" xfId="4385"/>
    <cellStyle name="Normal 7 2 7 2" xfId="6511"/>
    <cellStyle name="Normal 7 2 7 3" xfId="18629"/>
    <cellStyle name="Normal 7 2 7 4" xfId="23672"/>
    <cellStyle name="Normal 7 2 7 5" xfId="28633"/>
    <cellStyle name="Normal 7 2 7 6" xfId="33491"/>
    <cellStyle name="Normal 7 2 7 7" xfId="38222"/>
    <cellStyle name="Normal 7 2 70" xfId="9645"/>
    <cellStyle name="Normal 7 2 70 2" xfId="16726"/>
    <cellStyle name="Normal 7 2 70 3" xfId="21843"/>
    <cellStyle name="Normal 7 2 70 4" xfId="26886"/>
    <cellStyle name="Normal 7 2 70 5" xfId="31847"/>
    <cellStyle name="Normal 7 2 70 6" xfId="36705"/>
    <cellStyle name="Normal 7 2 70 7" xfId="41436"/>
    <cellStyle name="Normal 7 2 71" xfId="9655"/>
    <cellStyle name="Normal 7 2 71 2" xfId="16736"/>
    <cellStyle name="Normal 7 2 71 3" xfId="21853"/>
    <cellStyle name="Normal 7 2 71 4" xfId="26896"/>
    <cellStyle name="Normal 7 2 71 5" xfId="31857"/>
    <cellStyle name="Normal 7 2 71 6" xfId="36715"/>
    <cellStyle name="Normal 7 2 71 7" xfId="41446"/>
    <cellStyle name="Normal 7 2 72" xfId="9665"/>
    <cellStyle name="Normal 7 2 72 2" xfId="16746"/>
    <cellStyle name="Normal 7 2 72 3" xfId="21863"/>
    <cellStyle name="Normal 7 2 72 4" xfId="26906"/>
    <cellStyle name="Normal 7 2 72 5" xfId="31867"/>
    <cellStyle name="Normal 7 2 72 6" xfId="36725"/>
    <cellStyle name="Normal 7 2 72 7" xfId="41456"/>
    <cellStyle name="Normal 7 2 73" xfId="9675"/>
    <cellStyle name="Normal 7 2 73 2" xfId="16756"/>
    <cellStyle name="Normal 7 2 73 3" xfId="21873"/>
    <cellStyle name="Normal 7 2 73 4" xfId="26916"/>
    <cellStyle name="Normal 7 2 73 5" xfId="31877"/>
    <cellStyle name="Normal 7 2 73 6" xfId="36735"/>
    <cellStyle name="Normal 7 2 73 7" xfId="41466"/>
    <cellStyle name="Normal 7 2 74" xfId="9685"/>
    <cellStyle name="Normal 7 2 74 2" xfId="16766"/>
    <cellStyle name="Normal 7 2 74 3" xfId="21883"/>
    <cellStyle name="Normal 7 2 74 4" xfId="26926"/>
    <cellStyle name="Normal 7 2 74 5" xfId="31887"/>
    <cellStyle name="Normal 7 2 74 6" xfId="36745"/>
    <cellStyle name="Normal 7 2 74 7" xfId="41476"/>
    <cellStyle name="Normal 7 2 75" xfId="9695"/>
    <cellStyle name="Normal 7 2 75 2" xfId="16776"/>
    <cellStyle name="Normal 7 2 75 3" xfId="21893"/>
    <cellStyle name="Normal 7 2 75 4" xfId="26936"/>
    <cellStyle name="Normal 7 2 75 5" xfId="31897"/>
    <cellStyle name="Normal 7 2 75 6" xfId="36755"/>
    <cellStyle name="Normal 7 2 75 7" xfId="41486"/>
    <cellStyle name="Normal 7 2 76" xfId="9705"/>
    <cellStyle name="Normal 7 2 76 2" xfId="16786"/>
    <cellStyle name="Normal 7 2 76 3" xfId="21903"/>
    <cellStyle name="Normal 7 2 76 4" xfId="26946"/>
    <cellStyle name="Normal 7 2 76 5" xfId="31907"/>
    <cellStyle name="Normal 7 2 76 6" xfId="36765"/>
    <cellStyle name="Normal 7 2 76 7" xfId="41496"/>
    <cellStyle name="Normal 7 2 77" xfId="9794"/>
    <cellStyle name="Normal 7 2 77 2" xfId="16875"/>
    <cellStyle name="Normal 7 2 77 3" xfId="21992"/>
    <cellStyle name="Normal 7 2 77 4" xfId="27035"/>
    <cellStyle name="Normal 7 2 77 5" xfId="31996"/>
    <cellStyle name="Normal 7 2 77 6" xfId="36854"/>
    <cellStyle name="Normal 7 2 77 7" xfId="41585"/>
    <cellStyle name="Normal 7 2 78" xfId="9981"/>
    <cellStyle name="Normal 7 2 78 2" xfId="17062"/>
    <cellStyle name="Normal 7 2 78 3" xfId="22179"/>
    <cellStyle name="Normal 7 2 78 4" xfId="27222"/>
    <cellStyle name="Normal 7 2 78 5" xfId="32183"/>
    <cellStyle name="Normal 7 2 78 6" xfId="37041"/>
    <cellStyle name="Normal 7 2 78 7" xfId="41772"/>
    <cellStyle name="Normal 7 2 79" xfId="10005"/>
    <cellStyle name="Normal 7 2 79 2" xfId="17086"/>
    <cellStyle name="Normal 7 2 79 3" xfId="22203"/>
    <cellStyle name="Normal 7 2 79 4" xfId="27246"/>
    <cellStyle name="Normal 7 2 79 5" xfId="32207"/>
    <cellStyle name="Normal 7 2 79 6" xfId="37065"/>
    <cellStyle name="Normal 7 2 79 7" xfId="41796"/>
    <cellStyle name="Normal 7 2 8" xfId="4441"/>
    <cellStyle name="Normal 7 2 8 2" xfId="6526"/>
    <cellStyle name="Normal 7 2 8 3" xfId="18644"/>
    <cellStyle name="Normal 7 2 8 4" xfId="23687"/>
    <cellStyle name="Normal 7 2 8 5" xfId="28648"/>
    <cellStyle name="Normal 7 2 8 6" xfId="33506"/>
    <cellStyle name="Normal 7 2 8 7" xfId="38237"/>
    <cellStyle name="Normal 7 2 80" xfId="10015"/>
    <cellStyle name="Normal 7 2 80 2" xfId="17096"/>
    <cellStyle name="Normal 7 2 80 3" xfId="22213"/>
    <cellStyle name="Normal 7 2 80 4" xfId="27256"/>
    <cellStyle name="Normal 7 2 80 5" xfId="32217"/>
    <cellStyle name="Normal 7 2 80 6" xfId="37075"/>
    <cellStyle name="Normal 7 2 80 7" xfId="41806"/>
    <cellStyle name="Normal 7 2 81" xfId="10025"/>
    <cellStyle name="Normal 7 2 81 2" xfId="17106"/>
    <cellStyle name="Normal 7 2 81 3" xfId="22223"/>
    <cellStyle name="Normal 7 2 81 4" xfId="27266"/>
    <cellStyle name="Normal 7 2 81 5" xfId="32227"/>
    <cellStyle name="Normal 7 2 81 6" xfId="37085"/>
    <cellStyle name="Normal 7 2 81 7" xfId="41816"/>
    <cellStyle name="Normal 7 2 82" xfId="10035"/>
    <cellStyle name="Normal 7 2 82 2" xfId="17116"/>
    <cellStyle name="Normal 7 2 82 3" xfId="22233"/>
    <cellStyle name="Normal 7 2 82 4" xfId="27276"/>
    <cellStyle name="Normal 7 2 82 5" xfId="32237"/>
    <cellStyle name="Normal 7 2 82 6" xfId="37095"/>
    <cellStyle name="Normal 7 2 82 7" xfId="41826"/>
    <cellStyle name="Normal 7 2 83" xfId="10124"/>
    <cellStyle name="Normal 7 2 83 2" xfId="17205"/>
    <cellStyle name="Normal 7 2 83 3" xfId="22322"/>
    <cellStyle name="Normal 7 2 83 4" xfId="27365"/>
    <cellStyle name="Normal 7 2 83 5" xfId="32326"/>
    <cellStyle name="Normal 7 2 83 6" xfId="37184"/>
    <cellStyle name="Normal 7 2 83 7" xfId="41915"/>
    <cellStyle name="Normal 7 2 84" xfId="10311"/>
    <cellStyle name="Normal 7 2 84 2" xfId="17392"/>
    <cellStyle name="Normal 7 2 84 3" xfId="22509"/>
    <cellStyle name="Normal 7 2 84 4" xfId="27552"/>
    <cellStyle name="Normal 7 2 84 5" xfId="32513"/>
    <cellStyle name="Normal 7 2 84 6" xfId="37371"/>
    <cellStyle name="Normal 7 2 84 7" xfId="42102"/>
    <cellStyle name="Normal 7 2 85" xfId="10335"/>
    <cellStyle name="Normal 7 2 85 2" xfId="17416"/>
    <cellStyle name="Normal 7 2 85 3" xfId="22533"/>
    <cellStyle name="Normal 7 2 85 4" xfId="27576"/>
    <cellStyle name="Normal 7 2 85 5" xfId="32537"/>
    <cellStyle name="Normal 7 2 85 6" xfId="37395"/>
    <cellStyle name="Normal 7 2 85 7" xfId="42126"/>
    <cellStyle name="Normal 7 2 86" xfId="10345"/>
    <cellStyle name="Normal 7 2 86 2" xfId="17426"/>
    <cellStyle name="Normal 7 2 86 3" xfId="22543"/>
    <cellStyle name="Normal 7 2 86 4" xfId="27586"/>
    <cellStyle name="Normal 7 2 86 5" xfId="32547"/>
    <cellStyle name="Normal 7 2 86 6" xfId="37405"/>
    <cellStyle name="Normal 7 2 86 7" xfId="42136"/>
    <cellStyle name="Normal 7 2 87" xfId="10355"/>
    <cellStyle name="Normal 7 2 87 2" xfId="17436"/>
    <cellStyle name="Normal 7 2 87 3" xfId="22553"/>
    <cellStyle name="Normal 7 2 87 4" xfId="27596"/>
    <cellStyle name="Normal 7 2 87 5" xfId="32557"/>
    <cellStyle name="Normal 7 2 87 6" xfId="37415"/>
    <cellStyle name="Normal 7 2 87 7" xfId="42146"/>
    <cellStyle name="Normal 7 2 88" xfId="10365"/>
    <cellStyle name="Normal 7 2 88 2" xfId="17446"/>
    <cellStyle name="Normal 7 2 88 3" xfId="22563"/>
    <cellStyle name="Normal 7 2 88 4" xfId="27606"/>
    <cellStyle name="Normal 7 2 88 5" xfId="32567"/>
    <cellStyle name="Normal 7 2 88 6" xfId="37425"/>
    <cellStyle name="Normal 7 2 88 7" xfId="42156"/>
    <cellStyle name="Normal 7 2 89" xfId="12223"/>
    <cellStyle name="Normal 7 2 9" xfId="4525"/>
    <cellStyle name="Normal 7 2 9 2" xfId="6539"/>
    <cellStyle name="Normal 7 2 9 3" xfId="18657"/>
    <cellStyle name="Normal 7 2 9 4" xfId="23700"/>
    <cellStyle name="Normal 7 2 9 5" xfId="28661"/>
    <cellStyle name="Normal 7 2 9 6" xfId="33519"/>
    <cellStyle name="Normal 7 2 9 7" xfId="38250"/>
    <cellStyle name="Normal 7 2 90" xfId="12075"/>
    <cellStyle name="Normal 7 2 91" xfId="12479"/>
    <cellStyle name="Normal 7 2 92" xfId="11832"/>
    <cellStyle name="Normal 7 2 93" xfId="11335"/>
    <cellStyle name="Normal 7 2 94" xfId="13328"/>
    <cellStyle name="Normal 7 3" xfId="1578"/>
    <cellStyle name="Normal 7 3 2" xfId="12429"/>
    <cellStyle name="Normal 7 3 3" xfId="13819"/>
    <cellStyle name="Normal 7 3 4" xfId="17559"/>
    <cellStyle name="Normal 7 3 5" xfId="22656"/>
    <cellStyle name="Normal 7 3 6" xfId="27679"/>
    <cellStyle name="Normal 7 3 7" xfId="32621"/>
    <cellStyle name="Normal 7 4" xfId="1719"/>
    <cellStyle name="Normal 7 4 10" xfId="4520"/>
    <cellStyle name="Normal 7 4 10 2" xfId="6392"/>
    <cellStyle name="Normal 7 4 10 3" xfId="18502"/>
    <cellStyle name="Normal 7 4 10 4" xfId="23545"/>
    <cellStyle name="Normal 7 4 10 5" xfId="28506"/>
    <cellStyle name="Normal 7 4 10 6" xfId="33364"/>
    <cellStyle name="Normal 7 4 10 7" xfId="38095"/>
    <cellStyle name="Normal 7 4 11" xfId="4683"/>
    <cellStyle name="Normal 7 4 11 2" xfId="5812"/>
    <cellStyle name="Normal 7 4 11 3" xfId="17909"/>
    <cellStyle name="Normal 7 4 11 4" xfId="22952"/>
    <cellStyle name="Normal 7 4 11 5" xfId="27913"/>
    <cellStyle name="Normal 7 4 11 6" xfId="32771"/>
    <cellStyle name="Normal 7 4 11 7" xfId="37502"/>
    <cellStyle name="Normal 7 4 12" xfId="4818"/>
    <cellStyle name="Normal 7 4 12 2" xfId="6248"/>
    <cellStyle name="Normal 7 4 12 3" xfId="18352"/>
    <cellStyle name="Normal 7 4 12 4" xfId="23395"/>
    <cellStyle name="Normal 7 4 12 5" xfId="28356"/>
    <cellStyle name="Normal 7 4 12 6" xfId="33214"/>
    <cellStyle name="Normal 7 4 12 7" xfId="37945"/>
    <cellStyle name="Normal 7 4 13" xfId="4762"/>
    <cellStyle name="Normal 7 4 13 2" xfId="5968"/>
    <cellStyle name="Normal 7 4 13 3" xfId="18070"/>
    <cellStyle name="Normal 7 4 13 4" xfId="23113"/>
    <cellStyle name="Normal 7 4 13 5" xfId="28074"/>
    <cellStyle name="Normal 7 4 13 6" xfId="32932"/>
    <cellStyle name="Normal 7 4 13 7" xfId="37663"/>
    <cellStyle name="Normal 7 4 14" xfId="4746"/>
    <cellStyle name="Normal 7 4 14 2" xfId="6088"/>
    <cellStyle name="Normal 7 4 14 3" xfId="18192"/>
    <cellStyle name="Normal 7 4 14 4" xfId="23235"/>
    <cellStyle name="Normal 7 4 14 5" xfId="28196"/>
    <cellStyle name="Normal 7 4 14 6" xfId="33054"/>
    <cellStyle name="Normal 7 4 14 7" xfId="37785"/>
    <cellStyle name="Normal 7 4 15" xfId="4779"/>
    <cellStyle name="Normal 7 4 15 2" xfId="6434"/>
    <cellStyle name="Normal 7 4 15 3" xfId="18544"/>
    <cellStyle name="Normal 7 4 15 4" xfId="23587"/>
    <cellStyle name="Normal 7 4 15 5" xfId="28548"/>
    <cellStyle name="Normal 7 4 15 6" xfId="33406"/>
    <cellStyle name="Normal 7 4 15 7" xfId="38137"/>
    <cellStyle name="Normal 7 4 16" xfId="5033"/>
    <cellStyle name="Normal 7 4 16 2" xfId="6429"/>
    <cellStyle name="Normal 7 4 16 3" xfId="18539"/>
    <cellStyle name="Normal 7 4 16 4" xfId="23582"/>
    <cellStyle name="Normal 7 4 16 5" xfId="28543"/>
    <cellStyle name="Normal 7 4 16 6" xfId="33401"/>
    <cellStyle name="Normal 7 4 16 7" xfId="38132"/>
    <cellStyle name="Normal 7 4 17" xfId="4980"/>
    <cellStyle name="Normal 7 4 17 2" xfId="6008"/>
    <cellStyle name="Normal 7 4 17 3" xfId="18111"/>
    <cellStyle name="Normal 7 4 17 4" xfId="23154"/>
    <cellStyle name="Normal 7 4 17 5" xfId="28115"/>
    <cellStyle name="Normal 7 4 17 6" xfId="32973"/>
    <cellStyle name="Normal 7 4 17 7" xfId="37704"/>
    <cellStyle name="Normal 7 4 18" xfId="4967"/>
    <cellStyle name="Normal 7 4 18 2" xfId="6435"/>
    <cellStyle name="Normal 7 4 18 3" xfId="18545"/>
    <cellStyle name="Normal 7 4 18 4" xfId="23588"/>
    <cellStyle name="Normal 7 4 18 5" xfId="28549"/>
    <cellStyle name="Normal 7 4 18 6" xfId="33407"/>
    <cellStyle name="Normal 7 4 18 7" xfId="38138"/>
    <cellStyle name="Normal 7 4 19" xfId="4975"/>
    <cellStyle name="Normal 7 4 19 2" xfId="6732"/>
    <cellStyle name="Normal 7 4 19 3" xfId="18853"/>
    <cellStyle name="Normal 7 4 19 4" xfId="23896"/>
    <cellStyle name="Normal 7 4 19 5" xfId="28857"/>
    <cellStyle name="Normal 7 4 19 6" xfId="33715"/>
    <cellStyle name="Normal 7 4 19 7" xfId="38446"/>
    <cellStyle name="Normal 7 4 2" xfId="2465"/>
    <cellStyle name="Normal 7 4 2 2" xfId="13012"/>
    <cellStyle name="Normal 7 4 2 3" xfId="12676"/>
    <cellStyle name="Normal 7 4 2 4" xfId="13561"/>
    <cellStyle name="Normal 7 4 2 5" xfId="13764"/>
    <cellStyle name="Normal 7 4 2 6" xfId="17508"/>
    <cellStyle name="Normal 7 4 2 7" xfId="22613"/>
    <cellStyle name="Normal 7 4 20" xfId="5359"/>
    <cellStyle name="Normal 7 4 20 2" xfId="6683"/>
    <cellStyle name="Normal 7 4 20 3" xfId="18803"/>
    <cellStyle name="Normal 7 4 20 4" xfId="23846"/>
    <cellStyle name="Normal 7 4 20 5" xfId="28807"/>
    <cellStyle name="Normal 7 4 20 6" xfId="33665"/>
    <cellStyle name="Normal 7 4 20 7" xfId="38396"/>
    <cellStyle name="Normal 7 4 21" xfId="5240"/>
    <cellStyle name="Normal 7 4 21 2" xfId="6676"/>
    <cellStyle name="Normal 7 4 21 3" xfId="18796"/>
    <cellStyle name="Normal 7 4 21 4" xfId="23839"/>
    <cellStyle name="Normal 7 4 21 5" xfId="28800"/>
    <cellStyle name="Normal 7 4 21 6" xfId="33658"/>
    <cellStyle name="Normal 7 4 21 7" xfId="38389"/>
    <cellStyle name="Normal 7 4 22" xfId="5196"/>
    <cellStyle name="Normal 7 4 22 2" xfId="6663"/>
    <cellStyle name="Normal 7 4 22 3" xfId="18783"/>
    <cellStyle name="Normal 7 4 22 4" xfId="23826"/>
    <cellStyle name="Normal 7 4 22 5" xfId="28787"/>
    <cellStyle name="Normal 7 4 22 6" xfId="33645"/>
    <cellStyle name="Normal 7 4 22 7" xfId="38376"/>
    <cellStyle name="Normal 7 4 23" xfId="5287"/>
    <cellStyle name="Normal 7 4 23 2" xfId="7080"/>
    <cellStyle name="Normal 7 4 23 3" xfId="19224"/>
    <cellStyle name="Normal 7 4 23 4" xfId="24267"/>
    <cellStyle name="Normal 7 4 23 5" xfId="29228"/>
    <cellStyle name="Normal 7 4 23 6" xfId="34086"/>
    <cellStyle name="Normal 7 4 23 7" xfId="38817"/>
    <cellStyle name="Normal 7 4 24" xfId="5236"/>
    <cellStyle name="Normal 7 4 24 2" xfId="6939"/>
    <cellStyle name="Normal 7 4 24 3" xfId="19068"/>
    <cellStyle name="Normal 7 4 24 4" xfId="24111"/>
    <cellStyle name="Normal 7 4 24 5" xfId="29072"/>
    <cellStyle name="Normal 7 4 24 6" xfId="33930"/>
    <cellStyle name="Normal 7 4 24 7" xfId="38661"/>
    <cellStyle name="Normal 7 4 25" xfId="5340"/>
    <cellStyle name="Normal 7 4 25 2" xfId="6918"/>
    <cellStyle name="Normal 7 4 25 3" xfId="19046"/>
    <cellStyle name="Normal 7 4 25 4" xfId="24089"/>
    <cellStyle name="Normal 7 4 25 5" xfId="29050"/>
    <cellStyle name="Normal 7 4 25 6" xfId="33908"/>
    <cellStyle name="Normal 7 4 25 7" xfId="38639"/>
    <cellStyle name="Normal 7 4 26" xfId="5568"/>
    <cellStyle name="Normal 7 4 26 2" xfId="6893"/>
    <cellStyle name="Normal 7 4 26 3" xfId="19016"/>
    <cellStyle name="Normal 7 4 26 4" xfId="24059"/>
    <cellStyle name="Normal 7 4 26 5" xfId="29020"/>
    <cellStyle name="Normal 7 4 26 6" xfId="33878"/>
    <cellStyle name="Normal 7 4 26 7" xfId="38609"/>
    <cellStyle name="Normal 7 4 27" xfId="5262"/>
    <cellStyle name="Normal 7 4 27 2" xfId="6966"/>
    <cellStyle name="Normal 7 4 27 3" xfId="19098"/>
    <cellStyle name="Normal 7 4 27 4" xfId="24141"/>
    <cellStyle name="Normal 7 4 27 5" xfId="29102"/>
    <cellStyle name="Normal 7 4 27 6" xfId="33960"/>
    <cellStyle name="Normal 7 4 27 7" xfId="38691"/>
    <cellStyle name="Normal 7 4 28" xfId="5369"/>
    <cellStyle name="Normal 7 4 28 2" xfId="6904"/>
    <cellStyle name="Normal 7 4 28 3" xfId="19028"/>
    <cellStyle name="Normal 7 4 28 4" xfId="24071"/>
    <cellStyle name="Normal 7 4 28 5" xfId="29032"/>
    <cellStyle name="Normal 7 4 28 6" xfId="33890"/>
    <cellStyle name="Normal 7 4 28 7" xfId="38621"/>
    <cellStyle name="Normal 7 4 29" xfId="5769"/>
    <cellStyle name="Normal 7 4 29 2" xfId="14368"/>
    <cellStyle name="Normal 7 4 29 3" xfId="19290"/>
    <cellStyle name="Normal 7 4 29 4" xfId="24333"/>
    <cellStyle name="Normal 7 4 29 5" xfId="29294"/>
    <cellStyle name="Normal 7 4 29 6" xfId="34152"/>
    <cellStyle name="Normal 7 4 29 7" xfId="38883"/>
    <cellStyle name="Normal 7 4 3" xfId="4267"/>
    <cellStyle name="Normal 7 4 3 2" xfId="6080"/>
    <cellStyle name="Normal 7 4 3 3" xfId="18184"/>
    <cellStyle name="Normal 7 4 3 4" xfId="23227"/>
    <cellStyle name="Normal 7 4 3 5" xfId="28188"/>
    <cellStyle name="Normal 7 4 3 6" xfId="33046"/>
    <cellStyle name="Normal 7 4 3 7" xfId="37777"/>
    <cellStyle name="Normal 7 4 30" xfId="7299"/>
    <cellStyle name="Normal 7 4 30 2" xfId="14443"/>
    <cellStyle name="Normal 7 4 30 3" xfId="19468"/>
    <cellStyle name="Normal 7 4 30 4" xfId="24511"/>
    <cellStyle name="Normal 7 4 30 5" xfId="29472"/>
    <cellStyle name="Normal 7 4 30 6" xfId="34330"/>
    <cellStyle name="Normal 7 4 30 7" xfId="39061"/>
    <cellStyle name="Normal 7 4 31" xfId="6888"/>
    <cellStyle name="Normal 7 4 31 2" xfId="14223"/>
    <cellStyle name="Normal 7 4 31 3" xfId="19010"/>
    <cellStyle name="Normal 7 4 31 4" xfId="24053"/>
    <cellStyle name="Normal 7 4 31 5" xfId="29014"/>
    <cellStyle name="Normal 7 4 31 6" xfId="33872"/>
    <cellStyle name="Normal 7 4 31 7" xfId="38603"/>
    <cellStyle name="Normal 7 4 32" xfId="7206"/>
    <cellStyle name="Normal 7 4 32 2" xfId="14391"/>
    <cellStyle name="Normal 7 4 32 3" xfId="19362"/>
    <cellStyle name="Normal 7 4 32 4" xfId="24405"/>
    <cellStyle name="Normal 7 4 32 5" xfId="29366"/>
    <cellStyle name="Normal 7 4 32 6" xfId="34224"/>
    <cellStyle name="Normal 7 4 32 7" xfId="38955"/>
    <cellStyle name="Normal 7 4 33" xfId="6998"/>
    <cellStyle name="Normal 7 4 33 2" xfId="14294"/>
    <cellStyle name="Normal 7 4 33 3" xfId="19136"/>
    <cellStyle name="Normal 7 4 33 4" xfId="24179"/>
    <cellStyle name="Normal 7 4 33 5" xfId="29140"/>
    <cellStyle name="Normal 7 4 33 6" xfId="33998"/>
    <cellStyle name="Normal 7 4 33 7" xfId="38729"/>
    <cellStyle name="Normal 7 4 34" xfId="7087"/>
    <cellStyle name="Normal 7 4 34 2" xfId="14334"/>
    <cellStyle name="Normal 7 4 34 3" xfId="19232"/>
    <cellStyle name="Normal 7 4 34 4" xfId="24275"/>
    <cellStyle name="Normal 7 4 34 5" xfId="29236"/>
    <cellStyle name="Normal 7 4 34 6" xfId="34094"/>
    <cellStyle name="Normal 7 4 34 7" xfId="38825"/>
    <cellStyle name="Normal 7 4 35" xfId="7721"/>
    <cellStyle name="Normal 7 4 35 2" xfId="14801"/>
    <cellStyle name="Normal 7 4 35 3" xfId="19918"/>
    <cellStyle name="Normal 7 4 35 4" xfId="24961"/>
    <cellStyle name="Normal 7 4 35 5" xfId="29922"/>
    <cellStyle name="Normal 7 4 35 6" xfId="34780"/>
    <cellStyle name="Normal 7 4 35 7" xfId="39511"/>
    <cellStyle name="Normal 7 4 36" xfId="7542"/>
    <cellStyle name="Normal 7 4 36 2" xfId="14620"/>
    <cellStyle name="Normal 7 4 36 3" xfId="19737"/>
    <cellStyle name="Normal 7 4 36 4" xfId="24780"/>
    <cellStyle name="Normal 7 4 36 5" xfId="29741"/>
    <cellStyle name="Normal 7 4 36 6" xfId="34599"/>
    <cellStyle name="Normal 7 4 36 7" xfId="39330"/>
    <cellStyle name="Normal 7 4 37" xfId="7515"/>
    <cellStyle name="Normal 7 4 37 2" xfId="14593"/>
    <cellStyle name="Normal 7 4 37 3" xfId="19710"/>
    <cellStyle name="Normal 7 4 37 4" xfId="24753"/>
    <cellStyle name="Normal 7 4 37 5" xfId="29714"/>
    <cellStyle name="Normal 7 4 37 6" xfId="34572"/>
    <cellStyle name="Normal 7 4 37 7" xfId="39303"/>
    <cellStyle name="Normal 7 4 38" xfId="7484"/>
    <cellStyle name="Normal 7 4 38 2" xfId="14559"/>
    <cellStyle name="Normal 7 4 38 3" xfId="19676"/>
    <cellStyle name="Normal 7 4 38 4" xfId="24719"/>
    <cellStyle name="Normal 7 4 38 5" xfId="29680"/>
    <cellStyle name="Normal 7 4 38 6" xfId="34538"/>
    <cellStyle name="Normal 7 4 38 7" xfId="39269"/>
    <cellStyle name="Normal 7 4 39" xfId="7573"/>
    <cellStyle name="Normal 7 4 39 2" xfId="14653"/>
    <cellStyle name="Normal 7 4 39 3" xfId="19770"/>
    <cellStyle name="Normal 7 4 39 4" xfId="24813"/>
    <cellStyle name="Normal 7 4 39 5" xfId="29774"/>
    <cellStyle name="Normal 7 4 39 6" xfId="34632"/>
    <cellStyle name="Normal 7 4 39 7" xfId="39363"/>
    <cellStyle name="Normal 7 4 4" xfId="4222"/>
    <cellStyle name="Normal 7 4 4 2" xfId="5882"/>
    <cellStyle name="Normal 7 4 4 3" xfId="17982"/>
    <cellStyle name="Normal 7 4 4 4" xfId="23025"/>
    <cellStyle name="Normal 7 4 4 5" xfId="27986"/>
    <cellStyle name="Normal 7 4 4 6" xfId="32844"/>
    <cellStyle name="Normal 7 4 4 7" xfId="37575"/>
    <cellStyle name="Normal 7 4 40" xfId="7496"/>
    <cellStyle name="Normal 7 4 40 2" xfId="14572"/>
    <cellStyle name="Normal 7 4 40 3" xfId="19689"/>
    <cellStyle name="Normal 7 4 40 4" xfId="24732"/>
    <cellStyle name="Normal 7 4 40 5" xfId="29693"/>
    <cellStyle name="Normal 7 4 40 6" xfId="34551"/>
    <cellStyle name="Normal 7 4 40 7" xfId="39282"/>
    <cellStyle name="Normal 7 4 41" xfId="7792"/>
    <cellStyle name="Normal 7 4 41 2" xfId="14872"/>
    <cellStyle name="Normal 7 4 41 3" xfId="19989"/>
    <cellStyle name="Normal 7 4 41 4" xfId="25032"/>
    <cellStyle name="Normal 7 4 41 5" xfId="29993"/>
    <cellStyle name="Normal 7 4 41 6" xfId="34851"/>
    <cellStyle name="Normal 7 4 41 7" xfId="39582"/>
    <cellStyle name="Normal 7 4 42" xfId="8001"/>
    <cellStyle name="Normal 7 4 42 2" xfId="15081"/>
    <cellStyle name="Normal 7 4 42 3" xfId="20198"/>
    <cellStyle name="Normal 7 4 42 4" xfId="25241"/>
    <cellStyle name="Normal 7 4 42 5" xfId="30202"/>
    <cellStyle name="Normal 7 4 42 6" xfId="35060"/>
    <cellStyle name="Normal 7 4 42 7" xfId="39791"/>
    <cellStyle name="Normal 7 4 43" xfId="7478"/>
    <cellStyle name="Normal 7 4 43 2" xfId="14553"/>
    <cellStyle name="Normal 7 4 43 3" xfId="19670"/>
    <cellStyle name="Normal 7 4 43 4" xfId="24713"/>
    <cellStyle name="Normal 7 4 43 5" xfId="29674"/>
    <cellStyle name="Normal 7 4 43 6" xfId="34532"/>
    <cellStyle name="Normal 7 4 43 7" xfId="39263"/>
    <cellStyle name="Normal 7 4 44" xfId="7870"/>
    <cellStyle name="Normal 7 4 44 2" xfId="14950"/>
    <cellStyle name="Normal 7 4 44 3" xfId="20067"/>
    <cellStyle name="Normal 7 4 44 4" xfId="25110"/>
    <cellStyle name="Normal 7 4 44 5" xfId="30071"/>
    <cellStyle name="Normal 7 4 44 6" xfId="34929"/>
    <cellStyle name="Normal 7 4 44 7" xfId="39660"/>
    <cellStyle name="Normal 7 4 45" xfId="7621"/>
    <cellStyle name="Normal 7 4 45 2" xfId="14701"/>
    <cellStyle name="Normal 7 4 45 3" xfId="19818"/>
    <cellStyle name="Normal 7 4 45 4" xfId="24861"/>
    <cellStyle name="Normal 7 4 45 5" xfId="29822"/>
    <cellStyle name="Normal 7 4 45 6" xfId="34680"/>
    <cellStyle name="Normal 7 4 45 7" xfId="39411"/>
    <cellStyle name="Normal 7 4 46" xfId="7729"/>
    <cellStyle name="Normal 7 4 46 2" xfId="14809"/>
    <cellStyle name="Normal 7 4 46 3" xfId="19926"/>
    <cellStyle name="Normal 7 4 46 4" xfId="24969"/>
    <cellStyle name="Normal 7 4 46 5" xfId="29930"/>
    <cellStyle name="Normal 7 4 46 6" xfId="34788"/>
    <cellStyle name="Normal 7 4 46 7" xfId="39519"/>
    <cellStyle name="Normal 7 4 47" xfId="8040"/>
    <cellStyle name="Normal 7 4 47 2" xfId="15120"/>
    <cellStyle name="Normal 7 4 47 3" xfId="20237"/>
    <cellStyle name="Normal 7 4 47 4" xfId="25280"/>
    <cellStyle name="Normal 7 4 47 5" xfId="30241"/>
    <cellStyle name="Normal 7 4 47 6" xfId="35099"/>
    <cellStyle name="Normal 7 4 47 7" xfId="39830"/>
    <cellStyle name="Normal 7 4 48" xfId="8035"/>
    <cellStyle name="Normal 7 4 48 2" xfId="15115"/>
    <cellStyle name="Normal 7 4 48 3" xfId="20232"/>
    <cellStyle name="Normal 7 4 48 4" xfId="25275"/>
    <cellStyle name="Normal 7 4 48 5" xfId="30236"/>
    <cellStyle name="Normal 7 4 48 6" xfId="35094"/>
    <cellStyle name="Normal 7 4 48 7" xfId="39825"/>
    <cellStyle name="Normal 7 4 49" xfId="8501"/>
    <cellStyle name="Normal 7 4 49 2" xfId="15582"/>
    <cellStyle name="Normal 7 4 49 3" xfId="20699"/>
    <cellStyle name="Normal 7 4 49 4" xfId="25742"/>
    <cellStyle name="Normal 7 4 49 5" xfId="30703"/>
    <cellStyle name="Normal 7 4 49 6" xfId="35561"/>
    <cellStyle name="Normal 7 4 49 7" xfId="40292"/>
    <cellStyle name="Normal 7 4 5" xfId="4237"/>
    <cellStyle name="Normal 7 4 5 2" xfId="5853"/>
    <cellStyle name="Normal 7 4 5 3" xfId="17953"/>
    <cellStyle name="Normal 7 4 5 4" xfId="22996"/>
    <cellStyle name="Normal 7 4 5 5" xfId="27957"/>
    <cellStyle name="Normal 7 4 5 6" xfId="32815"/>
    <cellStyle name="Normal 7 4 5 7" xfId="37546"/>
    <cellStyle name="Normal 7 4 50" xfId="8321"/>
    <cellStyle name="Normal 7 4 50 2" xfId="15402"/>
    <cellStyle name="Normal 7 4 50 3" xfId="20519"/>
    <cellStyle name="Normal 7 4 50 4" xfId="25562"/>
    <cellStyle name="Normal 7 4 50 5" xfId="30523"/>
    <cellStyle name="Normal 7 4 50 6" xfId="35381"/>
    <cellStyle name="Normal 7 4 50 7" xfId="40112"/>
    <cellStyle name="Normal 7 4 51" xfId="8295"/>
    <cellStyle name="Normal 7 4 51 2" xfId="15376"/>
    <cellStyle name="Normal 7 4 51 3" xfId="20493"/>
    <cellStyle name="Normal 7 4 51 4" xfId="25536"/>
    <cellStyle name="Normal 7 4 51 5" xfId="30497"/>
    <cellStyle name="Normal 7 4 51 6" xfId="35355"/>
    <cellStyle name="Normal 7 4 51 7" xfId="40086"/>
    <cellStyle name="Normal 7 4 52" xfId="8252"/>
    <cellStyle name="Normal 7 4 52 2" xfId="15333"/>
    <cellStyle name="Normal 7 4 52 3" xfId="20450"/>
    <cellStyle name="Normal 7 4 52 4" xfId="25493"/>
    <cellStyle name="Normal 7 4 52 5" xfId="30454"/>
    <cellStyle name="Normal 7 4 52 6" xfId="35312"/>
    <cellStyle name="Normal 7 4 52 7" xfId="40043"/>
    <cellStyle name="Normal 7 4 53" xfId="8356"/>
    <cellStyle name="Normal 7 4 53 2" xfId="15437"/>
    <cellStyle name="Normal 7 4 53 3" xfId="20554"/>
    <cellStyle name="Normal 7 4 53 4" xfId="25597"/>
    <cellStyle name="Normal 7 4 53 5" xfId="30558"/>
    <cellStyle name="Normal 7 4 53 6" xfId="35416"/>
    <cellStyle name="Normal 7 4 53 7" xfId="40147"/>
    <cellStyle name="Normal 7 4 54" xfId="8269"/>
    <cellStyle name="Normal 7 4 54 2" xfId="15350"/>
    <cellStyle name="Normal 7 4 54 3" xfId="20467"/>
    <cellStyle name="Normal 7 4 54 4" xfId="25510"/>
    <cellStyle name="Normal 7 4 54 5" xfId="30471"/>
    <cellStyle name="Normal 7 4 54 6" xfId="35329"/>
    <cellStyle name="Normal 7 4 54 7" xfId="40060"/>
    <cellStyle name="Normal 7 4 55" xfId="8575"/>
    <cellStyle name="Normal 7 4 55 2" xfId="15656"/>
    <cellStyle name="Normal 7 4 55 3" xfId="20773"/>
    <cellStyle name="Normal 7 4 55 4" xfId="25816"/>
    <cellStyle name="Normal 7 4 55 5" xfId="30777"/>
    <cellStyle name="Normal 7 4 55 6" xfId="35635"/>
    <cellStyle name="Normal 7 4 55 7" xfId="40366"/>
    <cellStyle name="Normal 7 4 56" xfId="8896"/>
    <cellStyle name="Normal 7 4 56 2" xfId="15977"/>
    <cellStyle name="Normal 7 4 56 3" xfId="21094"/>
    <cellStyle name="Normal 7 4 56 4" xfId="26137"/>
    <cellStyle name="Normal 7 4 56 5" xfId="31098"/>
    <cellStyle name="Normal 7 4 56 6" xfId="35956"/>
    <cellStyle name="Normal 7 4 56 7" xfId="40687"/>
    <cellStyle name="Normal 7 4 57" xfId="8372"/>
    <cellStyle name="Normal 7 4 57 2" xfId="15453"/>
    <cellStyle name="Normal 7 4 57 3" xfId="20570"/>
    <cellStyle name="Normal 7 4 57 4" xfId="25613"/>
    <cellStyle name="Normal 7 4 57 5" xfId="30574"/>
    <cellStyle name="Normal 7 4 57 6" xfId="35432"/>
    <cellStyle name="Normal 7 4 57 7" xfId="40163"/>
    <cellStyle name="Normal 7 4 58" xfId="8605"/>
    <cellStyle name="Normal 7 4 58 2" xfId="15686"/>
    <cellStyle name="Normal 7 4 58 3" xfId="20803"/>
    <cellStyle name="Normal 7 4 58 4" xfId="25846"/>
    <cellStyle name="Normal 7 4 58 5" xfId="30807"/>
    <cellStyle name="Normal 7 4 58 6" xfId="35665"/>
    <cellStyle name="Normal 7 4 58 7" xfId="40396"/>
    <cellStyle name="Normal 7 4 59" xfId="8576"/>
    <cellStyle name="Normal 7 4 59 2" xfId="15657"/>
    <cellStyle name="Normal 7 4 59 3" xfId="20774"/>
    <cellStyle name="Normal 7 4 59 4" xfId="25817"/>
    <cellStyle name="Normal 7 4 59 5" xfId="30778"/>
    <cellStyle name="Normal 7 4 59 6" xfId="35636"/>
    <cellStyle name="Normal 7 4 59 7" xfId="40367"/>
    <cellStyle name="Normal 7 4 6" xfId="4401"/>
    <cellStyle name="Normal 7 4 6 2" xfId="5817"/>
    <cellStyle name="Normal 7 4 6 3" xfId="17915"/>
    <cellStyle name="Normal 7 4 6 4" xfId="22958"/>
    <cellStyle name="Normal 7 4 6 5" xfId="27919"/>
    <cellStyle name="Normal 7 4 6 6" xfId="32777"/>
    <cellStyle name="Normal 7 4 6 7" xfId="37508"/>
    <cellStyle name="Normal 7 4 60" xfId="8525"/>
    <cellStyle name="Normal 7 4 60 2" xfId="15606"/>
    <cellStyle name="Normal 7 4 60 3" xfId="20723"/>
    <cellStyle name="Normal 7 4 60 4" xfId="25766"/>
    <cellStyle name="Normal 7 4 60 5" xfId="30727"/>
    <cellStyle name="Normal 7 4 60 6" xfId="35585"/>
    <cellStyle name="Normal 7 4 60 7" xfId="40316"/>
    <cellStyle name="Normal 7 4 61" xfId="8686"/>
    <cellStyle name="Normal 7 4 61 2" xfId="15767"/>
    <cellStyle name="Normal 7 4 61 3" xfId="20884"/>
    <cellStyle name="Normal 7 4 61 4" xfId="25927"/>
    <cellStyle name="Normal 7 4 61 5" xfId="30888"/>
    <cellStyle name="Normal 7 4 61 6" xfId="35746"/>
    <cellStyle name="Normal 7 4 61 7" xfId="40477"/>
    <cellStyle name="Normal 7 4 62" xfId="8724"/>
    <cellStyle name="Normal 7 4 62 2" xfId="15805"/>
    <cellStyle name="Normal 7 4 62 3" xfId="20922"/>
    <cellStyle name="Normal 7 4 62 4" xfId="25965"/>
    <cellStyle name="Normal 7 4 62 5" xfId="30926"/>
    <cellStyle name="Normal 7 4 62 6" xfId="35784"/>
    <cellStyle name="Normal 7 4 62 7" xfId="40515"/>
    <cellStyle name="Normal 7 4 63" xfId="8842"/>
    <cellStyle name="Normal 7 4 63 2" xfId="15923"/>
    <cellStyle name="Normal 7 4 63 3" xfId="21040"/>
    <cellStyle name="Normal 7 4 63 4" xfId="26083"/>
    <cellStyle name="Normal 7 4 63 5" xfId="31044"/>
    <cellStyle name="Normal 7 4 63 6" xfId="35902"/>
    <cellStyle name="Normal 7 4 63 7" xfId="40633"/>
    <cellStyle name="Normal 7 4 64" xfId="9284"/>
    <cellStyle name="Normal 7 4 64 2" xfId="16365"/>
    <cellStyle name="Normal 7 4 64 3" xfId="21482"/>
    <cellStyle name="Normal 7 4 64 4" xfId="26525"/>
    <cellStyle name="Normal 7 4 64 5" xfId="31486"/>
    <cellStyle name="Normal 7 4 64 6" xfId="36344"/>
    <cellStyle name="Normal 7 4 64 7" xfId="41075"/>
    <cellStyle name="Normal 7 4 65" xfId="9128"/>
    <cellStyle name="Normal 7 4 65 2" xfId="16209"/>
    <cellStyle name="Normal 7 4 65 3" xfId="21326"/>
    <cellStyle name="Normal 7 4 65 4" xfId="26369"/>
    <cellStyle name="Normal 7 4 65 5" xfId="31330"/>
    <cellStyle name="Normal 7 4 65 6" xfId="36188"/>
    <cellStyle name="Normal 7 4 65 7" xfId="40919"/>
    <cellStyle name="Normal 7 4 66" xfId="9106"/>
    <cellStyle name="Normal 7 4 66 2" xfId="16187"/>
    <cellStyle name="Normal 7 4 66 3" xfId="21304"/>
    <cellStyle name="Normal 7 4 66 4" xfId="26347"/>
    <cellStyle name="Normal 7 4 66 5" xfId="31308"/>
    <cellStyle name="Normal 7 4 66 6" xfId="36166"/>
    <cellStyle name="Normal 7 4 66 7" xfId="40897"/>
    <cellStyle name="Normal 7 4 67" xfId="9076"/>
    <cellStyle name="Normal 7 4 67 2" xfId="16157"/>
    <cellStyle name="Normal 7 4 67 3" xfId="21274"/>
    <cellStyle name="Normal 7 4 67 4" xfId="26317"/>
    <cellStyle name="Normal 7 4 67 5" xfId="31278"/>
    <cellStyle name="Normal 7 4 67 6" xfId="36136"/>
    <cellStyle name="Normal 7 4 67 7" xfId="40867"/>
    <cellStyle name="Normal 7 4 68" xfId="9158"/>
    <cellStyle name="Normal 7 4 68 2" xfId="16239"/>
    <cellStyle name="Normal 7 4 68 3" xfId="21356"/>
    <cellStyle name="Normal 7 4 68 4" xfId="26399"/>
    <cellStyle name="Normal 7 4 68 5" xfId="31360"/>
    <cellStyle name="Normal 7 4 68 6" xfId="36218"/>
    <cellStyle name="Normal 7 4 68 7" xfId="40949"/>
    <cellStyle name="Normal 7 4 69" xfId="9088"/>
    <cellStyle name="Normal 7 4 69 2" xfId="16169"/>
    <cellStyle name="Normal 7 4 69 3" xfId="21286"/>
    <cellStyle name="Normal 7 4 69 4" xfId="26329"/>
    <cellStyle name="Normal 7 4 69 5" xfId="31290"/>
    <cellStyle name="Normal 7 4 69 6" xfId="36148"/>
    <cellStyle name="Normal 7 4 69 7" xfId="40879"/>
    <cellStyle name="Normal 7 4 7" xfId="4457"/>
    <cellStyle name="Normal 7 4 7 2" xfId="5916"/>
    <cellStyle name="Normal 7 4 7 3" xfId="18018"/>
    <cellStyle name="Normal 7 4 7 4" xfId="23061"/>
    <cellStyle name="Normal 7 4 7 5" xfId="28022"/>
    <cellStyle name="Normal 7 4 7 6" xfId="32880"/>
    <cellStyle name="Normal 7 4 7 7" xfId="37611"/>
    <cellStyle name="Normal 7 4 70" xfId="9350"/>
    <cellStyle name="Normal 7 4 70 2" xfId="16431"/>
    <cellStyle name="Normal 7 4 70 3" xfId="21548"/>
    <cellStyle name="Normal 7 4 70 4" xfId="26591"/>
    <cellStyle name="Normal 7 4 70 5" xfId="31552"/>
    <cellStyle name="Normal 7 4 70 6" xfId="36410"/>
    <cellStyle name="Normal 7 4 70 7" xfId="41141"/>
    <cellStyle name="Normal 7 4 71" xfId="9528"/>
    <cellStyle name="Normal 7 4 71 2" xfId="16609"/>
    <cellStyle name="Normal 7 4 71 3" xfId="21726"/>
    <cellStyle name="Normal 7 4 71 4" xfId="26769"/>
    <cellStyle name="Normal 7 4 71 5" xfId="31730"/>
    <cellStyle name="Normal 7 4 71 6" xfId="36588"/>
    <cellStyle name="Normal 7 4 71 7" xfId="41319"/>
    <cellStyle name="Normal 7 4 72" xfId="9070"/>
    <cellStyle name="Normal 7 4 72 2" xfId="16151"/>
    <cellStyle name="Normal 7 4 72 3" xfId="21268"/>
    <cellStyle name="Normal 7 4 72 4" xfId="26311"/>
    <cellStyle name="Normal 7 4 72 5" xfId="31272"/>
    <cellStyle name="Normal 7 4 72 6" xfId="36130"/>
    <cellStyle name="Normal 7 4 72 7" xfId="40861"/>
    <cellStyle name="Normal 7 4 73" xfId="9422"/>
    <cellStyle name="Normal 7 4 73 2" xfId="16503"/>
    <cellStyle name="Normal 7 4 73 3" xfId="21620"/>
    <cellStyle name="Normal 7 4 73 4" xfId="26663"/>
    <cellStyle name="Normal 7 4 73 5" xfId="31624"/>
    <cellStyle name="Normal 7 4 73 6" xfId="36482"/>
    <cellStyle name="Normal 7 4 73 7" xfId="41213"/>
    <cellStyle name="Normal 7 4 74" xfId="9196"/>
    <cellStyle name="Normal 7 4 74 2" xfId="16277"/>
    <cellStyle name="Normal 7 4 74 3" xfId="21394"/>
    <cellStyle name="Normal 7 4 74 4" xfId="26437"/>
    <cellStyle name="Normal 7 4 74 5" xfId="31398"/>
    <cellStyle name="Normal 7 4 74 6" xfId="36256"/>
    <cellStyle name="Normal 7 4 74 7" xfId="40987"/>
    <cellStyle name="Normal 7 4 75" xfId="9292"/>
    <cellStyle name="Normal 7 4 75 2" xfId="16373"/>
    <cellStyle name="Normal 7 4 75 3" xfId="21490"/>
    <cellStyle name="Normal 7 4 75 4" xfId="26533"/>
    <cellStyle name="Normal 7 4 75 5" xfId="31494"/>
    <cellStyle name="Normal 7 4 75 6" xfId="36352"/>
    <cellStyle name="Normal 7 4 75 7" xfId="41083"/>
    <cellStyle name="Normal 7 4 76" xfId="9831"/>
    <cellStyle name="Normal 7 4 76 2" xfId="16912"/>
    <cellStyle name="Normal 7 4 76 3" xfId="22029"/>
    <cellStyle name="Normal 7 4 76 4" xfId="27072"/>
    <cellStyle name="Normal 7 4 76 5" xfId="32033"/>
    <cellStyle name="Normal 7 4 76 6" xfId="36891"/>
    <cellStyle name="Normal 7 4 76 7" xfId="41622"/>
    <cellStyle name="Normal 7 4 77" xfId="9755"/>
    <cellStyle name="Normal 7 4 77 2" xfId="16836"/>
    <cellStyle name="Normal 7 4 77 3" xfId="21953"/>
    <cellStyle name="Normal 7 4 77 4" xfId="26996"/>
    <cellStyle name="Normal 7 4 77 5" xfId="31957"/>
    <cellStyle name="Normal 7 4 77 6" xfId="36815"/>
    <cellStyle name="Normal 7 4 77 7" xfId="41546"/>
    <cellStyle name="Normal 7 4 78" xfId="9742"/>
    <cellStyle name="Normal 7 4 78 2" xfId="16823"/>
    <cellStyle name="Normal 7 4 78 3" xfId="21940"/>
    <cellStyle name="Normal 7 4 78 4" xfId="26983"/>
    <cellStyle name="Normal 7 4 78 5" xfId="31944"/>
    <cellStyle name="Normal 7 4 78 6" xfId="36802"/>
    <cellStyle name="Normal 7 4 78 7" xfId="41533"/>
    <cellStyle name="Normal 7 4 79" xfId="9726"/>
    <cellStyle name="Normal 7 4 79 2" xfId="16807"/>
    <cellStyle name="Normal 7 4 79 3" xfId="21924"/>
    <cellStyle name="Normal 7 4 79 4" xfId="26967"/>
    <cellStyle name="Normal 7 4 79 5" xfId="31928"/>
    <cellStyle name="Normal 7 4 79 6" xfId="36786"/>
    <cellStyle name="Normal 7 4 79 7" xfId="41517"/>
    <cellStyle name="Normal 7 4 8" xfId="4545"/>
    <cellStyle name="Normal 7 4 8 2" xfId="5830"/>
    <cellStyle name="Normal 7 4 8 3" xfId="17929"/>
    <cellStyle name="Normal 7 4 8 4" xfId="22972"/>
    <cellStyle name="Normal 7 4 8 5" xfId="27933"/>
    <cellStyle name="Normal 7 4 8 6" xfId="32791"/>
    <cellStyle name="Normal 7 4 8 7" xfId="37522"/>
    <cellStyle name="Normal 7 4 80" xfId="9769"/>
    <cellStyle name="Normal 7 4 80 2" xfId="16850"/>
    <cellStyle name="Normal 7 4 80 3" xfId="21967"/>
    <cellStyle name="Normal 7 4 80 4" xfId="27010"/>
    <cellStyle name="Normal 7 4 80 5" xfId="31971"/>
    <cellStyle name="Normal 7 4 80 6" xfId="36829"/>
    <cellStyle name="Normal 7 4 80 7" xfId="41560"/>
    <cellStyle name="Normal 7 4 81" xfId="9732"/>
    <cellStyle name="Normal 7 4 81 2" xfId="16813"/>
    <cellStyle name="Normal 7 4 81 3" xfId="21930"/>
    <cellStyle name="Normal 7 4 81 4" xfId="26973"/>
    <cellStyle name="Normal 7 4 81 5" xfId="31934"/>
    <cellStyle name="Normal 7 4 81 6" xfId="36792"/>
    <cellStyle name="Normal 7 4 81 7" xfId="41523"/>
    <cellStyle name="Normal 7 4 82" xfId="10161"/>
    <cellStyle name="Normal 7 4 82 2" xfId="17242"/>
    <cellStyle name="Normal 7 4 82 3" xfId="22359"/>
    <cellStyle name="Normal 7 4 82 4" xfId="27402"/>
    <cellStyle name="Normal 7 4 82 5" xfId="32363"/>
    <cellStyle name="Normal 7 4 82 6" xfId="37221"/>
    <cellStyle name="Normal 7 4 82 7" xfId="41952"/>
    <cellStyle name="Normal 7 4 83" xfId="10085"/>
    <cellStyle name="Normal 7 4 83 2" xfId="17166"/>
    <cellStyle name="Normal 7 4 83 3" xfId="22283"/>
    <cellStyle name="Normal 7 4 83 4" xfId="27326"/>
    <cellStyle name="Normal 7 4 83 5" xfId="32287"/>
    <cellStyle name="Normal 7 4 83 6" xfId="37145"/>
    <cellStyle name="Normal 7 4 83 7" xfId="41876"/>
    <cellStyle name="Normal 7 4 84" xfId="10072"/>
    <cellStyle name="Normal 7 4 84 2" xfId="17153"/>
    <cellStyle name="Normal 7 4 84 3" xfId="22270"/>
    <cellStyle name="Normal 7 4 84 4" xfId="27313"/>
    <cellStyle name="Normal 7 4 84 5" xfId="32274"/>
    <cellStyle name="Normal 7 4 84 6" xfId="37132"/>
    <cellStyle name="Normal 7 4 84 7" xfId="41863"/>
    <cellStyle name="Normal 7 4 85" xfId="10056"/>
    <cellStyle name="Normal 7 4 85 2" xfId="17137"/>
    <cellStyle name="Normal 7 4 85 3" xfId="22254"/>
    <cellStyle name="Normal 7 4 85 4" xfId="27297"/>
    <cellStyle name="Normal 7 4 85 5" xfId="32258"/>
    <cellStyle name="Normal 7 4 85 6" xfId="37116"/>
    <cellStyle name="Normal 7 4 85 7" xfId="41847"/>
    <cellStyle name="Normal 7 4 86" xfId="10099"/>
    <cellStyle name="Normal 7 4 86 2" xfId="17180"/>
    <cellStyle name="Normal 7 4 86 3" xfId="22297"/>
    <cellStyle name="Normal 7 4 86 4" xfId="27340"/>
    <cellStyle name="Normal 7 4 86 5" xfId="32301"/>
    <cellStyle name="Normal 7 4 86 6" xfId="37159"/>
    <cellStyle name="Normal 7 4 86 7" xfId="41890"/>
    <cellStyle name="Normal 7 4 87" xfId="10062"/>
    <cellStyle name="Normal 7 4 87 2" xfId="17143"/>
    <cellStyle name="Normal 7 4 87 3" xfId="22260"/>
    <cellStyle name="Normal 7 4 87 4" xfId="27303"/>
    <cellStyle name="Normal 7 4 87 5" xfId="32264"/>
    <cellStyle name="Normal 7 4 87 6" xfId="37122"/>
    <cellStyle name="Normal 7 4 87 7" xfId="41853"/>
    <cellStyle name="Normal 7 4 88" xfId="12523"/>
    <cellStyle name="Normal 7 4 89" xfId="13805"/>
    <cellStyle name="Normal 7 4 9" xfId="4509"/>
    <cellStyle name="Normal 7 4 9 2" xfId="6161"/>
    <cellStyle name="Normal 7 4 9 3" xfId="18265"/>
    <cellStyle name="Normal 7 4 9 4" xfId="23308"/>
    <cellStyle name="Normal 7 4 9 5" xfId="28269"/>
    <cellStyle name="Normal 7 4 9 6" xfId="33127"/>
    <cellStyle name="Normal 7 4 9 7" xfId="37858"/>
    <cellStyle name="Normal 7 4 90" xfId="17546"/>
    <cellStyle name="Normal 7 4 91" xfId="22644"/>
    <cellStyle name="Normal 7 4 92" xfId="27669"/>
    <cellStyle name="Normal 7 4 93" xfId="32616"/>
    <cellStyle name="Normal 7 5" xfId="2468"/>
    <cellStyle name="Normal 7 5 2" xfId="13015"/>
    <cellStyle name="Normal 7 5 3" xfId="12248"/>
    <cellStyle name="Normal 7 5 4" xfId="13396"/>
    <cellStyle name="Normal 7 5 5" xfId="14061"/>
    <cellStyle name="Normal 7 5 6" xfId="17776"/>
    <cellStyle name="Normal 7 5 7" xfId="22842"/>
    <cellStyle name="Normal 7 6" xfId="10425"/>
    <cellStyle name="Normal 7 7" xfId="10738"/>
    <cellStyle name="Normal 7 8" xfId="11022"/>
    <cellStyle name="Normal 7 9" xfId="11269"/>
    <cellStyle name="Normal 70" xfId="322"/>
    <cellStyle name="Normal 70 10" xfId="32720"/>
    <cellStyle name="Normal 70 2" xfId="10533"/>
    <cellStyle name="Normal 70 3" xfId="10846"/>
    <cellStyle name="Normal 70 4" xfId="11130"/>
    <cellStyle name="Normal 70 5" xfId="11522"/>
    <cellStyle name="Normal 70 6" xfId="14091"/>
    <cellStyle name="Normal 70 7" xfId="17804"/>
    <cellStyle name="Normal 70 8" xfId="22867"/>
    <cellStyle name="Normal 70 9" xfId="27843"/>
    <cellStyle name="Normal 71" xfId="324"/>
    <cellStyle name="Normal 71 10" xfId="32631"/>
    <cellStyle name="Normal 71 2" xfId="10535"/>
    <cellStyle name="Normal 71 3" xfId="10848"/>
    <cellStyle name="Normal 71 4" xfId="11132"/>
    <cellStyle name="Normal 71 5" xfId="11524"/>
    <cellStyle name="Normal 71 6" xfId="13848"/>
    <cellStyle name="Normal 71 7" xfId="17587"/>
    <cellStyle name="Normal 71 8" xfId="22681"/>
    <cellStyle name="Normal 71 9" xfId="27699"/>
    <cellStyle name="Normal 72" xfId="326"/>
    <cellStyle name="Normal 72 10" xfId="17518"/>
    <cellStyle name="Normal 72 2" xfId="10537"/>
    <cellStyle name="Normal 72 3" xfId="10850"/>
    <cellStyle name="Normal 72 4" xfId="11134"/>
    <cellStyle name="Normal 72 5" xfId="11526"/>
    <cellStyle name="Normal 72 6" xfId="13649"/>
    <cellStyle name="Normal 72 7" xfId="11696"/>
    <cellStyle name="Normal 72 8" xfId="11863"/>
    <cellStyle name="Normal 72 9" xfId="13775"/>
    <cellStyle name="Normal 73" xfId="328"/>
    <cellStyle name="Normal 73 10" xfId="13117"/>
    <cellStyle name="Normal 73 2" xfId="10539"/>
    <cellStyle name="Normal 73 3" xfId="10852"/>
    <cellStyle name="Normal 73 4" xfId="11136"/>
    <cellStyle name="Normal 73 5" xfId="11528"/>
    <cellStyle name="Normal 73 6" xfId="13180"/>
    <cellStyle name="Normal 73 7" xfId="12195"/>
    <cellStyle name="Normal 73 8" xfId="13708"/>
    <cellStyle name="Normal 73 9" xfId="11921"/>
    <cellStyle name="Normal 74" xfId="345"/>
    <cellStyle name="Normal 74 10" xfId="27852"/>
    <cellStyle name="Normal 74 2" xfId="10556"/>
    <cellStyle name="Normal 74 3" xfId="10869"/>
    <cellStyle name="Normal 74 4" xfId="11153"/>
    <cellStyle name="Normal 74 5" xfId="11545"/>
    <cellStyle name="Normal 74 6" xfId="10692"/>
    <cellStyle name="Normal 74 7" xfId="14112"/>
    <cellStyle name="Normal 74 8" xfId="17822"/>
    <cellStyle name="Normal 74 9" xfId="22881"/>
    <cellStyle name="Normal 75" xfId="370"/>
    <cellStyle name="Normal 75 10" xfId="32612"/>
    <cellStyle name="Normal 75 2" xfId="10581"/>
    <cellStyle name="Normal 75 3" xfId="10895"/>
    <cellStyle name="Normal 75 4" xfId="11179"/>
    <cellStyle name="Normal 75 5" xfId="11570"/>
    <cellStyle name="Normal 75 6" xfId="13797"/>
    <cellStyle name="Normal 75 7" xfId="17538"/>
    <cellStyle name="Normal 75 8" xfId="22637"/>
    <cellStyle name="Normal 75 9" xfId="27664"/>
    <cellStyle name="Normal 76" xfId="371"/>
    <cellStyle name="Normal 76 10" xfId="27760"/>
    <cellStyle name="Normal 76 2" xfId="10582"/>
    <cellStyle name="Normal 76 3" xfId="10896"/>
    <cellStyle name="Normal 76 4" xfId="11180"/>
    <cellStyle name="Normal 76 5" xfId="11571"/>
    <cellStyle name="Normal 76 6" xfId="12885"/>
    <cellStyle name="Normal 76 7" xfId="13950"/>
    <cellStyle name="Normal 76 8" xfId="17678"/>
    <cellStyle name="Normal 76 9" xfId="22757"/>
    <cellStyle name="Normal 77" xfId="624"/>
    <cellStyle name="Normal 77 10" xfId="17800"/>
    <cellStyle name="Normal 77 11" xfId="22863"/>
    <cellStyle name="Normal 77 12" xfId="27840"/>
    <cellStyle name="Normal 77 2" xfId="382"/>
    <cellStyle name="Normal 77 2 10" xfId="12665"/>
    <cellStyle name="Normal 77 2 2" xfId="10593"/>
    <cellStyle name="Normal 77 2 3" xfId="10907"/>
    <cellStyle name="Normal 77 2 4" xfId="11191"/>
    <cellStyle name="Normal 77 2 5" xfId="11582"/>
    <cellStyle name="Normal 77 2 6" xfId="13454"/>
    <cellStyle name="Normal 77 2 7" xfId="12822"/>
    <cellStyle name="Normal 77 2 8" xfId="11871"/>
    <cellStyle name="Normal 77 2 9" xfId="12200"/>
    <cellStyle name="Normal 77 3" xfId="397"/>
    <cellStyle name="Normal 77 3 10" xfId="11299"/>
    <cellStyle name="Normal 77 3 2" xfId="10608"/>
    <cellStyle name="Normal 77 3 3" xfId="10922"/>
    <cellStyle name="Normal 77 3 4" xfId="11206"/>
    <cellStyle name="Normal 77 3 5" xfId="11597"/>
    <cellStyle name="Normal 77 3 6" xfId="12906"/>
    <cellStyle name="Normal 77 3 7" xfId="12886"/>
    <cellStyle name="Normal 77 3 8" xfId="13688"/>
    <cellStyle name="Normal 77 3 9" xfId="12587"/>
    <cellStyle name="Normal 77 4" xfId="10391"/>
    <cellStyle name="Normal 77 5" xfId="10704"/>
    <cellStyle name="Normal 77 6" xfId="10988"/>
    <cellStyle name="Normal 77 7" xfId="11763"/>
    <cellStyle name="Normal 77 8" xfId="11791"/>
    <cellStyle name="Normal 77 9" xfId="14087"/>
    <cellStyle name="Normal 78" xfId="168"/>
    <cellStyle name="Normal 78 10" xfId="17567"/>
    <cellStyle name="Normal 78 11" xfId="22663"/>
    <cellStyle name="Normal 78 12" xfId="27686"/>
    <cellStyle name="Normal 78 2" xfId="393"/>
    <cellStyle name="Normal 78 2 10" xfId="12296"/>
    <cellStyle name="Normal 78 2 2" xfId="10604"/>
    <cellStyle name="Normal 78 2 3" xfId="10918"/>
    <cellStyle name="Normal 78 2 4" xfId="11202"/>
    <cellStyle name="Normal 78 2 5" xfId="11593"/>
    <cellStyle name="Normal 78 2 6" xfId="13329"/>
    <cellStyle name="Normal 78 2 7" xfId="13112"/>
    <cellStyle name="Normal 78 2 8" xfId="13220"/>
    <cellStyle name="Normal 78 2 9" xfId="12382"/>
    <cellStyle name="Normal 78 3" xfId="384"/>
    <cellStyle name="Normal 78 3 10" xfId="11683"/>
    <cellStyle name="Normal 78 3 2" xfId="10595"/>
    <cellStyle name="Normal 78 3 3" xfId="10909"/>
    <cellStyle name="Normal 78 3 4" xfId="11193"/>
    <cellStyle name="Normal 78 3 5" xfId="11584"/>
    <cellStyle name="Normal 78 3 6" xfId="12391"/>
    <cellStyle name="Normal 78 3 7" xfId="12882"/>
    <cellStyle name="Normal 78 3 8" xfId="12661"/>
    <cellStyle name="Normal 78 3 9" xfId="13305"/>
    <cellStyle name="Normal 78 4" xfId="10393"/>
    <cellStyle name="Normal 78 5" xfId="10706"/>
    <cellStyle name="Normal 78 6" xfId="10990"/>
    <cellStyle name="Normal 78 7" xfId="11370"/>
    <cellStyle name="Normal 78 8" xfId="11805"/>
    <cellStyle name="Normal 78 9" xfId="13827"/>
    <cellStyle name="Normal 79" xfId="377"/>
    <cellStyle name="Normal 79 10" xfId="22910"/>
    <cellStyle name="Normal 79 11" xfId="27878"/>
    <cellStyle name="Normal 79 12" xfId="32745"/>
    <cellStyle name="Normal 79 2" xfId="403"/>
    <cellStyle name="Normal 79 2 10" xfId="13450"/>
    <cellStyle name="Normal 79 2 2" xfId="10614"/>
    <cellStyle name="Normal 79 2 3" xfId="10928"/>
    <cellStyle name="Normal 79 2 4" xfId="11212"/>
    <cellStyle name="Normal 79 2 5" xfId="11603"/>
    <cellStyle name="Normal 79 2 6" xfId="12795"/>
    <cellStyle name="Normal 79 2 7" xfId="12298"/>
    <cellStyle name="Normal 79 2 8" xfId="11721"/>
    <cellStyle name="Normal 79 2 9" xfId="12347"/>
    <cellStyle name="Normal 79 3" xfId="388"/>
    <cellStyle name="Normal 79 3 10" xfId="13321"/>
    <cellStyle name="Normal 79 3 2" xfId="10599"/>
    <cellStyle name="Normal 79 3 3" xfId="10913"/>
    <cellStyle name="Normal 79 3 4" xfId="11197"/>
    <cellStyle name="Normal 79 3 5" xfId="11588"/>
    <cellStyle name="Normal 79 3 6" xfId="12979"/>
    <cellStyle name="Normal 79 3 7" xfId="12026"/>
    <cellStyle name="Normal 79 3 8" xfId="13414"/>
    <cellStyle name="Normal 79 3 9" xfId="13322"/>
    <cellStyle name="Normal 79 4" xfId="10588"/>
    <cellStyle name="Normal 79 5" xfId="10902"/>
    <cellStyle name="Normal 79 6" xfId="11186"/>
    <cellStyle name="Normal 79 7" xfId="11577"/>
    <cellStyle name="Normal 79 8" xfId="14158"/>
    <cellStyle name="Normal 79 9" xfId="17862"/>
    <cellStyle name="Normal 8" xfId="55"/>
    <cellStyle name="Normal 8 10" xfId="13191"/>
    <cellStyle name="Normal 8 11" xfId="11714"/>
    <cellStyle name="Normal 8 12" xfId="14047"/>
    <cellStyle name="Normal 8 13" xfId="17764"/>
    <cellStyle name="Normal 8 14" xfId="22831"/>
    <cellStyle name="Normal 8 2" xfId="1299"/>
    <cellStyle name="Normal 8 2 10" xfId="4616"/>
    <cellStyle name="Normal 8 2 10 2" xfId="5875"/>
    <cellStyle name="Normal 8 2 10 3" xfId="17975"/>
    <cellStyle name="Normal 8 2 10 4" xfId="23018"/>
    <cellStyle name="Normal 8 2 10 5" xfId="27979"/>
    <cellStyle name="Normal 8 2 10 6" xfId="32837"/>
    <cellStyle name="Normal 8 2 10 7" xfId="37568"/>
    <cellStyle name="Normal 8 2 11" xfId="4555"/>
    <cellStyle name="Normal 8 2 11 2" xfId="6226"/>
    <cellStyle name="Normal 8 2 11 3" xfId="18330"/>
    <cellStyle name="Normal 8 2 11 4" xfId="23373"/>
    <cellStyle name="Normal 8 2 11 5" xfId="28334"/>
    <cellStyle name="Normal 8 2 11 6" xfId="33192"/>
    <cellStyle name="Normal 8 2 11 7" xfId="37923"/>
    <cellStyle name="Normal 8 2 12" xfId="4668"/>
    <cellStyle name="Normal 8 2 12 2" xfId="6059"/>
    <cellStyle name="Normal 8 2 12 3" xfId="18163"/>
    <cellStyle name="Normal 8 2 12 4" xfId="23206"/>
    <cellStyle name="Normal 8 2 12 5" xfId="28167"/>
    <cellStyle name="Normal 8 2 12 6" xfId="33025"/>
    <cellStyle name="Normal 8 2 12 7" xfId="37756"/>
    <cellStyle name="Normal 8 2 13" xfId="4788"/>
    <cellStyle name="Normal 8 2 13 2" xfId="6146"/>
    <cellStyle name="Normal 8 2 13 3" xfId="18250"/>
    <cellStyle name="Normal 8 2 13 4" xfId="23293"/>
    <cellStyle name="Normal 8 2 13 5" xfId="28254"/>
    <cellStyle name="Normal 8 2 13 6" xfId="33112"/>
    <cellStyle name="Normal 8 2 13 7" xfId="37843"/>
    <cellStyle name="Normal 8 2 14" xfId="4909"/>
    <cellStyle name="Normal 8 2 14 2" xfId="5928"/>
    <cellStyle name="Normal 8 2 14 3" xfId="18030"/>
    <cellStyle name="Normal 8 2 14 4" xfId="23073"/>
    <cellStyle name="Normal 8 2 14 5" xfId="28034"/>
    <cellStyle name="Normal 8 2 14 6" xfId="32892"/>
    <cellStyle name="Normal 8 2 14 7" xfId="37623"/>
    <cellStyle name="Normal 8 2 15" xfId="4763"/>
    <cellStyle name="Normal 8 2 15 2" xfId="6339"/>
    <cellStyle name="Normal 8 2 15 3" xfId="18447"/>
    <cellStyle name="Normal 8 2 15 4" xfId="23490"/>
    <cellStyle name="Normal 8 2 15 5" xfId="28451"/>
    <cellStyle name="Normal 8 2 15 6" xfId="33309"/>
    <cellStyle name="Normal 8 2 15 7" xfId="38040"/>
    <cellStyle name="Normal 8 2 16" xfId="4755"/>
    <cellStyle name="Normal 8 2 16 2" xfId="6467"/>
    <cellStyle name="Normal 8 2 16 3" xfId="18577"/>
    <cellStyle name="Normal 8 2 16 4" xfId="23620"/>
    <cellStyle name="Normal 8 2 16 5" xfId="28581"/>
    <cellStyle name="Normal 8 2 16 6" xfId="33439"/>
    <cellStyle name="Normal 8 2 16 7" xfId="38170"/>
    <cellStyle name="Normal 8 2 17" xfId="5005"/>
    <cellStyle name="Normal 8 2 17 2" xfId="5911"/>
    <cellStyle name="Normal 8 2 17 3" xfId="18013"/>
    <cellStyle name="Normal 8 2 17 4" xfId="23056"/>
    <cellStyle name="Normal 8 2 17 5" xfId="28017"/>
    <cellStyle name="Normal 8 2 17 6" xfId="32875"/>
    <cellStyle name="Normal 8 2 17 7" xfId="37606"/>
    <cellStyle name="Normal 8 2 18" xfId="5125"/>
    <cellStyle name="Normal 8 2 18 2" xfId="5833"/>
    <cellStyle name="Normal 8 2 18 3" xfId="17932"/>
    <cellStyle name="Normal 8 2 18 4" xfId="22975"/>
    <cellStyle name="Normal 8 2 18 5" xfId="27936"/>
    <cellStyle name="Normal 8 2 18 6" xfId="32794"/>
    <cellStyle name="Normal 8 2 18 7" xfId="37525"/>
    <cellStyle name="Normal 8 2 19" xfId="5128"/>
    <cellStyle name="Normal 8 2 19 2" xfId="6476"/>
    <cellStyle name="Normal 8 2 19 3" xfId="18586"/>
    <cellStyle name="Normal 8 2 19 4" xfId="23629"/>
    <cellStyle name="Normal 8 2 19 5" xfId="28590"/>
    <cellStyle name="Normal 8 2 19 6" xfId="33448"/>
    <cellStyle name="Normal 8 2 19 7" xfId="38179"/>
    <cellStyle name="Normal 8 2 2" xfId="1320"/>
    <cellStyle name="Normal 8 2 2 2" xfId="2477"/>
    <cellStyle name="Normal 8 2 2 2 10" xfId="4593"/>
    <cellStyle name="Normal 8 2 2 2 10 2" xfId="6231"/>
    <cellStyle name="Normal 8 2 2 2 10 3" xfId="18335"/>
    <cellStyle name="Normal 8 2 2 2 10 4" xfId="23378"/>
    <cellStyle name="Normal 8 2 2 2 10 5" xfId="28339"/>
    <cellStyle name="Normal 8 2 2 2 10 6" xfId="33197"/>
    <cellStyle name="Normal 8 2 2 2 10 7" xfId="37928"/>
    <cellStyle name="Normal 8 2 2 2 11" xfId="4690"/>
    <cellStyle name="Normal 8 2 2 2 11 2" xfId="5876"/>
    <cellStyle name="Normal 8 2 2 2 11 3" xfId="17976"/>
    <cellStyle name="Normal 8 2 2 2 11 4" xfId="23019"/>
    <cellStyle name="Normal 8 2 2 2 11 5" xfId="27980"/>
    <cellStyle name="Normal 8 2 2 2 11 6" xfId="32838"/>
    <cellStyle name="Normal 8 2 2 2 11 7" xfId="37569"/>
    <cellStyle name="Normal 8 2 2 2 12" xfId="4846"/>
    <cellStyle name="Normal 8 2 2 2 12 2" xfId="6346"/>
    <cellStyle name="Normal 8 2 2 2 12 3" xfId="18454"/>
    <cellStyle name="Normal 8 2 2 2 12 4" xfId="23497"/>
    <cellStyle name="Normal 8 2 2 2 12 5" xfId="28458"/>
    <cellStyle name="Normal 8 2 2 2 12 6" xfId="33316"/>
    <cellStyle name="Normal 8 2 2 2 12 7" xfId="38047"/>
    <cellStyle name="Normal 8 2 2 2 13" xfId="4832"/>
    <cellStyle name="Normal 8 2 2 2 13 2" xfId="6064"/>
    <cellStyle name="Normal 8 2 2 2 13 3" xfId="18168"/>
    <cellStyle name="Normal 8 2 2 2 13 4" xfId="23211"/>
    <cellStyle name="Normal 8 2 2 2 13 5" xfId="28172"/>
    <cellStyle name="Normal 8 2 2 2 13 6" xfId="33030"/>
    <cellStyle name="Normal 8 2 2 2 13 7" xfId="37761"/>
    <cellStyle name="Normal 8 2 2 2 14" xfId="4880"/>
    <cellStyle name="Normal 8 2 2 2 14 2" xfId="6121"/>
    <cellStyle name="Normal 8 2 2 2 14 3" xfId="18225"/>
    <cellStyle name="Normal 8 2 2 2 14 4" xfId="23268"/>
    <cellStyle name="Normal 8 2 2 2 14 5" xfId="28229"/>
    <cellStyle name="Normal 8 2 2 2 14 6" xfId="33087"/>
    <cellStyle name="Normal 8 2 2 2 14 7" xfId="37818"/>
    <cellStyle name="Normal 8 2 2 2 15" xfId="4840"/>
    <cellStyle name="Normal 8 2 2 2 15 2" xfId="6394"/>
    <cellStyle name="Normal 8 2 2 2 15 3" xfId="18504"/>
    <cellStyle name="Normal 8 2 2 2 15 4" xfId="23547"/>
    <cellStyle name="Normal 8 2 2 2 15 5" xfId="28508"/>
    <cellStyle name="Normal 8 2 2 2 15 6" xfId="33366"/>
    <cellStyle name="Normal 8 2 2 2 15 7" xfId="38097"/>
    <cellStyle name="Normal 8 2 2 2 16" xfId="5071"/>
    <cellStyle name="Normal 8 2 2 2 16 2" xfId="6331"/>
    <cellStyle name="Normal 8 2 2 2 16 3" xfId="18439"/>
    <cellStyle name="Normal 8 2 2 2 16 4" xfId="23482"/>
    <cellStyle name="Normal 8 2 2 2 16 5" xfId="28443"/>
    <cellStyle name="Normal 8 2 2 2 16 6" xfId="33301"/>
    <cellStyle name="Normal 8 2 2 2 16 7" xfId="38032"/>
    <cellStyle name="Normal 8 2 2 2 17" xfId="5051"/>
    <cellStyle name="Normal 8 2 2 2 17 2" xfId="6443"/>
    <cellStyle name="Normal 8 2 2 2 17 3" xfId="18553"/>
    <cellStyle name="Normal 8 2 2 2 17 4" xfId="23596"/>
    <cellStyle name="Normal 8 2 2 2 17 5" xfId="28557"/>
    <cellStyle name="Normal 8 2 2 2 17 6" xfId="33415"/>
    <cellStyle name="Normal 8 2 2 2 17 7" xfId="38146"/>
    <cellStyle name="Normal 8 2 2 2 18" xfId="5112"/>
    <cellStyle name="Normal 8 2 2 2 18 2" xfId="6497"/>
    <cellStyle name="Normal 8 2 2 2 18 3" xfId="18615"/>
    <cellStyle name="Normal 8 2 2 2 18 4" xfId="23658"/>
    <cellStyle name="Normal 8 2 2 2 18 5" xfId="28619"/>
    <cellStyle name="Normal 8 2 2 2 18 6" xfId="33477"/>
    <cellStyle name="Normal 8 2 2 2 18 7" xfId="38208"/>
    <cellStyle name="Normal 8 2 2 2 19" xfId="5101"/>
    <cellStyle name="Normal 8 2 2 2 19 2" xfId="6766"/>
    <cellStyle name="Normal 8 2 2 2 19 3" xfId="18887"/>
    <cellStyle name="Normal 8 2 2 2 19 4" xfId="23930"/>
    <cellStyle name="Normal 8 2 2 2 19 5" xfId="28891"/>
    <cellStyle name="Normal 8 2 2 2 19 6" xfId="33749"/>
    <cellStyle name="Normal 8 2 2 2 19 7" xfId="38480"/>
    <cellStyle name="Normal 8 2 2 2 2" xfId="2495"/>
    <cellStyle name="Normal 8 2 2 2 2 2" xfId="13042"/>
    <cellStyle name="Normal 8 2 2 2 2 3" xfId="12974"/>
    <cellStyle name="Normal 8 2 2 2 2 4" xfId="12214"/>
    <cellStyle name="Normal 8 2 2 2 2 5" xfId="13158"/>
    <cellStyle name="Normal 8 2 2 2 2 6" xfId="12793"/>
    <cellStyle name="Normal 8 2 2 2 2 7" xfId="13608"/>
    <cellStyle name="Normal 8 2 2 2 20" xfId="5424"/>
    <cellStyle name="Normal 8 2 2 2 20 2" xfId="6749"/>
    <cellStyle name="Normal 8 2 2 2 20 3" xfId="18870"/>
    <cellStyle name="Normal 8 2 2 2 20 4" xfId="23913"/>
    <cellStyle name="Normal 8 2 2 2 20 5" xfId="28874"/>
    <cellStyle name="Normal 8 2 2 2 20 6" xfId="33732"/>
    <cellStyle name="Normal 8 2 2 2 20 7" xfId="38463"/>
    <cellStyle name="Normal 8 2 2 2 21" xfId="5388"/>
    <cellStyle name="Normal 8 2 2 2 21 2" xfId="6799"/>
    <cellStyle name="Normal 8 2 2 2 21 3" xfId="18920"/>
    <cellStyle name="Normal 8 2 2 2 21 4" xfId="23963"/>
    <cellStyle name="Normal 8 2 2 2 21 5" xfId="28924"/>
    <cellStyle name="Normal 8 2 2 2 21 6" xfId="33782"/>
    <cellStyle name="Normal 8 2 2 2 21 7" xfId="38513"/>
    <cellStyle name="Normal 8 2 2 2 22" xfId="5476"/>
    <cellStyle name="Normal 8 2 2 2 22 2" xfId="6759"/>
    <cellStyle name="Normal 8 2 2 2 22 3" xfId="18880"/>
    <cellStyle name="Normal 8 2 2 2 22 4" xfId="23923"/>
    <cellStyle name="Normal 8 2 2 2 22 5" xfId="28884"/>
    <cellStyle name="Normal 8 2 2 2 22 6" xfId="33742"/>
    <cellStyle name="Normal 8 2 2 2 22 7" xfId="38473"/>
    <cellStyle name="Normal 8 2 2 2 23" xfId="5414"/>
    <cellStyle name="Normal 8 2 2 2 23 2" xfId="7168"/>
    <cellStyle name="Normal 8 2 2 2 23 3" xfId="19323"/>
    <cellStyle name="Normal 8 2 2 2 23 4" xfId="24366"/>
    <cellStyle name="Normal 8 2 2 2 23 5" xfId="29327"/>
    <cellStyle name="Normal 8 2 2 2 23 6" xfId="34185"/>
    <cellStyle name="Normal 8 2 2 2 23 7" xfId="38916"/>
    <cellStyle name="Normal 8 2 2 2 24" xfId="5376"/>
    <cellStyle name="Normal 8 2 2 2 24 2" xfId="7131"/>
    <cellStyle name="Normal 8 2 2 2 24 3" xfId="19280"/>
    <cellStyle name="Normal 8 2 2 2 24 4" xfId="24323"/>
    <cellStyle name="Normal 8 2 2 2 24 5" xfId="29284"/>
    <cellStyle name="Normal 8 2 2 2 24 6" xfId="34142"/>
    <cellStyle name="Normal 8 2 2 2 24 7" xfId="38873"/>
    <cellStyle name="Normal 8 2 2 2 25" xfId="5364"/>
    <cellStyle name="Normal 8 2 2 2 25 2" xfId="7230"/>
    <cellStyle name="Normal 8 2 2 2 25 3" xfId="19388"/>
    <cellStyle name="Normal 8 2 2 2 25 4" xfId="24431"/>
    <cellStyle name="Normal 8 2 2 2 25 5" xfId="29392"/>
    <cellStyle name="Normal 8 2 2 2 25 6" xfId="34250"/>
    <cellStyle name="Normal 8 2 2 2 25 7" xfId="38981"/>
    <cellStyle name="Normal 8 2 2 2 26" xfId="5448"/>
    <cellStyle name="Normal 8 2 2 2 26 2" xfId="7159"/>
    <cellStyle name="Normal 8 2 2 2 26 3" xfId="19314"/>
    <cellStyle name="Normal 8 2 2 2 26 4" xfId="24357"/>
    <cellStyle name="Normal 8 2 2 2 26 5" xfId="29318"/>
    <cellStyle name="Normal 8 2 2 2 26 6" xfId="34176"/>
    <cellStyle name="Normal 8 2 2 2 26 7" xfId="38907"/>
    <cellStyle name="Normal 8 2 2 2 27" xfId="5449"/>
    <cellStyle name="Normal 8 2 2 2 27 2" xfId="7111"/>
    <cellStyle name="Normal 8 2 2 2 27 3" xfId="19257"/>
    <cellStyle name="Normal 8 2 2 2 27 4" xfId="24300"/>
    <cellStyle name="Normal 8 2 2 2 27 5" xfId="29261"/>
    <cellStyle name="Normal 8 2 2 2 27 6" xfId="34119"/>
    <cellStyle name="Normal 8 2 2 2 27 7" xfId="38850"/>
    <cellStyle name="Normal 8 2 2 2 28" xfId="5237"/>
    <cellStyle name="Normal 8 2 2 2 28 2" xfId="7085"/>
    <cellStyle name="Normal 8 2 2 2 28 3" xfId="19230"/>
    <cellStyle name="Normal 8 2 2 2 28 4" xfId="24273"/>
    <cellStyle name="Normal 8 2 2 2 28 5" xfId="29234"/>
    <cellStyle name="Normal 8 2 2 2 28 6" xfId="34092"/>
    <cellStyle name="Normal 8 2 2 2 28 7" xfId="38823"/>
    <cellStyle name="Normal 8 2 2 2 29" xfId="5776"/>
    <cellStyle name="Normal 8 2 2 2 29 2" xfId="14385"/>
    <cellStyle name="Normal 8 2 2 2 29 3" xfId="19349"/>
    <cellStyle name="Normal 8 2 2 2 29 4" xfId="24392"/>
    <cellStyle name="Normal 8 2 2 2 29 5" xfId="29353"/>
    <cellStyle name="Normal 8 2 2 2 29 6" xfId="34211"/>
    <cellStyle name="Normal 8 2 2 2 29 7" xfId="38942"/>
    <cellStyle name="Normal 8 2 2 2 3" xfId="4290"/>
    <cellStyle name="Normal 8 2 2 2 3 2" xfId="6202"/>
    <cellStyle name="Normal 8 2 2 2 3 3" xfId="18306"/>
    <cellStyle name="Normal 8 2 2 2 3 4" xfId="23349"/>
    <cellStyle name="Normal 8 2 2 2 3 5" xfId="28310"/>
    <cellStyle name="Normal 8 2 2 2 3 6" xfId="33168"/>
    <cellStyle name="Normal 8 2 2 2 3 7" xfId="37899"/>
    <cellStyle name="Normal 8 2 2 2 30" xfId="7195"/>
    <cellStyle name="Normal 8 2 2 2 30 2" xfId="14387"/>
    <cellStyle name="Normal 8 2 2 2 30 3" xfId="19351"/>
    <cellStyle name="Normal 8 2 2 2 30 4" xfId="24394"/>
    <cellStyle name="Normal 8 2 2 2 30 5" xfId="29355"/>
    <cellStyle name="Normal 8 2 2 2 30 6" xfId="34213"/>
    <cellStyle name="Normal 8 2 2 2 30 7" xfId="38944"/>
    <cellStyle name="Normal 8 2 2 2 31" xfId="6933"/>
    <cellStyle name="Normal 8 2 2 2 31 2" xfId="14248"/>
    <cellStyle name="Normal 8 2 2 2 31 3" xfId="19062"/>
    <cellStyle name="Normal 8 2 2 2 31 4" xfId="24105"/>
    <cellStyle name="Normal 8 2 2 2 31 5" xfId="29066"/>
    <cellStyle name="Normal 8 2 2 2 31 6" xfId="33924"/>
    <cellStyle name="Normal 8 2 2 2 31 7" xfId="38655"/>
    <cellStyle name="Normal 8 2 2 2 32" xfId="7269"/>
    <cellStyle name="Normal 8 2 2 2 32 2" xfId="14421"/>
    <cellStyle name="Normal 8 2 2 2 32 3" xfId="19433"/>
    <cellStyle name="Normal 8 2 2 2 32 4" xfId="24476"/>
    <cellStyle name="Normal 8 2 2 2 32 5" xfId="29437"/>
    <cellStyle name="Normal 8 2 2 2 32 6" xfId="34295"/>
    <cellStyle name="Normal 8 2 2 2 32 7" xfId="39026"/>
    <cellStyle name="Normal 8 2 2 2 33" xfId="7067"/>
    <cellStyle name="Normal 8 2 2 2 33 2" xfId="14329"/>
    <cellStyle name="Normal 8 2 2 2 33 3" xfId="19211"/>
    <cellStyle name="Normal 8 2 2 2 33 4" xfId="24254"/>
    <cellStyle name="Normal 8 2 2 2 33 5" xfId="29215"/>
    <cellStyle name="Normal 8 2 2 2 33 6" xfId="34073"/>
    <cellStyle name="Normal 8 2 2 2 33 7" xfId="38804"/>
    <cellStyle name="Normal 8 2 2 2 34" xfId="7113"/>
    <cellStyle name="Normal 8 2 2 2 34 2" xfId="14351"/>
    <cellStyle name="Normal 8 2 2 2 34 3" xfId="19259"/>
    <cellStyle name="Normal 8 2 2 2 34 4" xfId="24302"/>
    <cellStyle name="Normal 8 2 2 2 34 5" xfId="29263"/>
    <cellStyle name="Normal 8 2 2 2 34 6" xfId="34121"/>
    <cellStyle name="Normal 8 2 2 2 34 7" xfId="38852"/>
    <cellStyle name="Normal 8 2 2 2 35" xfId="7829"/>
    <cellStyle name="Normal 8 2 2 2 35 2" xfId="14909"/>
    <cellStyle name="Normal 8 2 2 2 35 3" xfId="20026"/>
    <cellStyle name="Normal 8 2 2 2 35 4" xfId="25069"/>
    <cellStyle name="Normal 8 2 2 2 35 5" xfId="30030"/>
    <cellStyle name="Normal 8 2 2 2 35 6" xfId="34888"/>
    <cellStyle name="Normal 8 2 2 2 35 7" xfId="39619"/>
    <cellStyle name="Normal 8 2 2 2 36" xfId="7782"/>
    <cellStyle name="Normal 8 2 2 2 36 2" xfId="14862"/>
    <cellStyle name="Normal 8 2 2 2 36 3" xfId="19979"/>
    <cellStyle name="Normal 8 2 2 2 36 4" xfId="25022"/>
    <cellStyle name="Normal 8 2 2 2 36 5" xfId="29983"/>
    <cellStyle name="Normal 8 2 2 2 36 6" xfId="34841"/>
    <cellStyle name="Normal 8 2 2 2 36 7" xfId="39572"/>
    <cellStyle name="Normal 8 2 2 2 37" xfId="7900"/>
    <cellStyle name="Normal 8 2 2 2 37 2" xfId="14980"/>
    <cellStyle name="Normal 8 2 2 2 37 3" xfId="20097"/>
    <cellStyle name="Normal 8 2 2 2 37 4" xfId="25140"/>
    <cellStyle name="Normal 8 2 2 2 37 5" xfId="30101"/>
    <cellStyle name="Normal 8 2 2 2 37 6" xfId="34959"/>
    <cellStyle name="Normal 8 2 2 2 37 7" xfId="39690"/>
    <cellStyle name="Normal 8 2 2 2 38" xfId="7820"/>
    <cellStyle name="Normal 8 2 2 2 38 2" xfId="14900"/>
    <cellStyle name="Normal 8 2 2 2 38 3" xfId="20017"/>
    <cellStyle name="Normal 8 2 2 2 38 4" xfId="25060"/>
    <cellStyle name="Normal 8 2 2 2 38 5" xfId="30021"/>
    <cellStyle name="Normal 8 2 2 2 38 6" xfId="34879"/>
    <cellStyle name="Normal 8 2 2 2 38 7" xfId="39610"/>
    <cellStyle name="Normal 8 2 2 2 39" xfId="7755"/>
    <cellStyle name="Normal 8 2 2 2 39 2" xfId="14835"/>
    <cellStyle name="Normal 8 2 2 2 39 3" xfId="19952"/>
    <cellStyle name="Normal 8 2 2 2 39 4" xfId="24995"/>
    <cellStyle name="Normal 8 2 2 2 39 5" xfId="29956"/>
    <cellStyle name="Normal 8 2 2 2 39 6" xfId="34814"/>
    <cellStyle name="Normal 8 2 2 2 39 7" xfId="39545"/>
    <cellStyle name="Normal 8 2 2 2 4" xfId="4321"/>
    <cellStyle name="Normal 8 2 2 2 4 2" xfId="6149"/>
    <cellStyle name="Normal 8 2 2 2 4 3" xfId="18253"/>
    <cellStyle name="Normal 8 2 2 2 4 4" xfId="23296"/>
    <cellStyle name="Normal 8 2 2 2 4 5" xfId="28257"/>
    <cellStyle name="Normal 8 2 2 2 4 6" xfId="33115"/>
    <cellStyle name="Normal 8 2 2 2 4 7" xfId="37846"/>
    <cellStyle name="Normal 8 2 2 2 40" xfId="7727"/>
    <cellStyle name="Normal 8 2 2 2 40 2" xfId="14807"/>
    <cellStyle name="Normal 8 2 2 2 40 3" xfId="19924"/>
    <cellStyle name="Normal 8 2 2 2 40 4" xfId="24967"/>
    <cellStyle name="Normal 8 2 2 2 40 5" xfId="29928"/>
    <cellStyle name="Normal 8 2 2 2 40 6" xfId="34786"/>
    <cellStyle name="Normal 8 2 2 2 40 7" xfId="39517"/>
    <cellStyle name="Normal 8 2 2 2 41" xfId="7855"/>
    <cellStyle name="Normal 8 2 2 2 41 2" xfId="14935"/>
    <cellStyle name="Normal 8 2 2 2 41 3" xfId="20052"/>
    <cellStyle name="Normal 8 2 2 2 41 4" xfId="25095"/>
    <cellStyle name="Normal 8 2 2 2 41 5" xfId="30056"/>
    <cellStyle name="Normal 8 2 2 2 41 6" xfId="34914"/>
    <cellStyle name="Normal 8 2 2 2 41 7" xfId="39645"/>
    <cellStyle name="Normal 8 2 2 2 42" xfId="7857"/>
    <cellStyle name="Normal 8 2 2 2 42 2" xfId="14937"/>
    <cellStyle name="Normal 8 2 2 2 42 3" xfId="20054"/>
    <cellStyle name="Normal 8 2 2 2 42 4" xfId="25097"/>
    <cellStyle name="Normal 8 2 2 2 42 5" xfId="30058"/>
    <cellStyle name="Normal 8 2 2 2 42 6" xfId="34916"/>
    <cellStyle name="Normal 8 2 2 2 42 7" xfId="39647"/>
    <cellStyle name="Normal 8 2 2 2 43" xfId="7536"/>
    <cellStyle name="Normal 8 2 2 2 43 2" xfId="14614"/>
    <cellStyle name="Normal 8 2 2 2 43 3" xfId="19731"/>
    <cellStyle name="Normal 8 2 2 2 43 4" xfId="24774"/>
    <cellStyle name="Normal 8 2 2 2 43 5" xfId="29735"/>
    <cellStyle name="Normal 8 2 2 2 43 6" xfId="34593"/>
    <cellStyle name="Normal 8 2 2 2 43 7" xfId="39324"/>
    <cellStyle name="Normal 8 2 2 2 44" xfId="7956"/>
    <cellStyle name="Normal 8 2 2 2 44 2" xfId="15036"/>
    <cellStyle name="Normal 8 2 2 2 44 3" xfId="20153"/>
    <cellStyle name="Normal 8 2 2 2 44 4" xfId="25196"/>
    <cellStyle name="Normal 8 2 2 2 44 5" xfId="30157"/>
    <cellStyle name="Normal 8 2 2 2 44 6" xfId="35015"/>
    <cellStyle name="Normal 8 2 2 2 44 7" xfId="39746"/>
    <cellStyle name="Normal 8 2 2 2 45" xfId="7707"/>
    <cellStyle name="Normal 8 2 2 2 45 2" xfId="14787"/>
    <cellStyle name="Normal 8 2 2 2 45 3" xfId="19904"/>
    <cellStyle name="Normal 8 2 2 2 45 4" xfId="24947"/>
    <cellStyle name="Normal 8 2 2 2 45 5" xfId="29908"/>
    <cellStyle name="Normal 8 2 2 2 45 6" xfId="34766"/>
    <cellStyle name="Normal 8 2 2 2 45 7" xfId="39497"/>
    <cellStyle name="Normal 8 2 2 2 46" xfId="7758"/>
    <cellStyle name="Normal 8 2 2 2 46 2" xfId="14838"/>
    <cellStyle name="Normal 8 2 2 2 46 3" xfId="19955"/>
    <cellStyle name="Normal 8 2 2 2 46 4" xfId="24998"/>
    <cellStyle name="Normal 8 2 2 2 46 5" xfId="29959"/>
    <cellStyle name="Normal 8 2 2 2 46 6" xfId="34817"/>
    <cellStyle name="Normal 8 2 2 2 46 7" xfId="39548"/>
    <cellStyle name="Normal 8 2 2 2 47" xfId="8003"/>
    <cellStyle name="Normal 8 2 2 2 47 2" xfId="15083"/>
    <cellStyle name="Normal 8 2 2 2 47 3" xfId="20200"/>
    <cellStyle name="Normal 8 2 2 2 47 4" xfId="25243"/>
    <cellStyle name="Normal 8 2 2 2 47 5" xfId="30204"/>
    <cellStyle name="Normal 8 2 2 2 47 6" xfId="35062"/>
    <cellStyle name="Normal 8 2 2 2 47 7" xfId="39793"/>
    <cellStyle name="Normal 8 2 2 2 48" xfId="7945"/>
    <cellStyle name="Normal 8 2 2 2 48 2" xfId="15025"/>
    <cellStyle name="Normal 8 2 2 2 48 3" xfId="20142"/>
    <cellStyle name="Normal 8 2 2 2 48 4" xfId="25185"/>
    <cellStyle name="Normal 8 2 2 2 48 5" xfId="30146"/>
    <cellStyle name="Normal 8 2 2 2 48 6" xfId="35004"/>
    <cellStyle name="Normal 8 2 2 2 48 7" xfId="39735"/>
    <cellStyle name="Normal 8 2 2 2 49" xfId="8625"/>
    <cellStyle name="Normal 8 2 2 2 49 2" xfId="15706"/>
    <cellStyle name="Normal 8 2 2 2 49 3" xfId="20823"/>
    <cellStyle name="Normal 8 2 2 2 49 4" xfId="25866"/>
    <cellStyle name="Normal 8 2 2 2 49 5" xfId="30827"/>
    <cellStyle name="Normal 8 2 2 2 49 6" xfId="35685"/>
    <cellStyle name="Normal 8 2 2 2 49 7" xfId="40416"/>
    <cellStyle name="Normal 8 2 2 2 5" xfId="4256"/>
    <cellStyle name="Normal 8 2 2 2 5 2" xfId="6279"/>
    <cellStyle name="Normal 8 2 2 2 5 3" xfId="18384"/>
    <cellStyle name="Normal 8 2 2 2 5 4" xfId="23427"/>
    <cellStyle name="Normal 8 2 2 2 5 5" xfId="28388"/>
    <cellStyle name="Normal 8 2 2 2 5 6" xfId="33246"/>
    <cellStyle name="Normal 8 2 2 2 5 7" xfId="37977"/>
    <cellStyle name="Normal 8 2 2 2 50" xfId="8565"/>
    <cellStyle name="Normal 8 2 2 2 50 2" xfId="15646"/>
    <cellStyle name="Normal 8 2 2 2 50 3" xfId="20763"/>
    <cellStyle name="Normal 8 2 2 2 50 4" xfId="25806"/>
    <cellStyle name="Normal 8 2 2 2 50 5" xfId="30767"/>
    <cellStyle name="Normal 8 2 2 2 50 6" xfId="35625"/>
    <cellStyle name="Normal 8 2 2 2 50 7" xfId="40356"/>
    <cellStyle name="Normal 8 2 2 2 51" xfId="8702"/>
    <cellStyle name="Normal 8 2 2 2 51 2" xfId="15783"/>
    <cellStyle name="Normal 8 2 2 2 51 3" xfId="20900"/>
    <cellStyle name="Normal 8 2 2 2 51 4" xfId="25943"/>
    <cellStyle name="Normal 8 2 2 2 51 5" xfId="30904"/>
    <cellStyle name="Normal 8 2 2 2 51 6" xfId="35762"/>
    <cellStyle name="Normal 8 2 2 2 51 7" xfId="40493"/>
    <cellStyle name="Normal 8 2 2 2 52" xfId="8611"/>
    <cellStyle name="Normal 8 2 2 2 52 2" xfId="15692"/>
    <cellStyle name="Normal 8 2 2 2 52 3" xfId="20809"/>
    <cellStyle name="Normal 8 2 2 2 52 4" xfId="25852"/>
    <cellStyle name="Normal 8 2 2 2 52 5" xfId="30813"/>
    <cellStyle name="Normal 8 2 2 2 52 6" xfId="35671"/>
    <cellStyle name="Normal 8 2 2 2 52 7" xfId="40402"/>
    <cellStyle name="Normal 8 2 2 2 53" xfId="8543"/>
    <cellStyle name="Normal 8 2 2 2 53 2" xfId="15624"/>
    <cellStyle name="Normal 8 2 2 2 53 3" xfId="20741"/>
    <cellStyle name="Normal 8 2 2 2 53 4" xfId="25784"/>
    <cellStyle name="Normal 8 2 2 2 53 5" xfId="30745"/>
    <cellStyle name="Normal 8 2 2 2 53 6" xfId="35603"/>
    <cellStyle name="Normal 8 2 2 2 53 7" xfId="40334"/>
    <cellStyle name="Normal 8 2 2 2 54" xfId="8511"/>
    <cellStyle name="Normal 8 2 2 2 54 2" xfId="15592"/>
    <cellStyle name="Normal 8 2 2 2 54 3" xfId="20709"/>
    <cellStyle name="Normal 8 2 2 2 54 4" xfId="25752"/>
    <cellStyle name="Normal 8 2 2 2 54 5" xfId="30713"/>
    <cellStyle name="Normal 8 2 2 2 54 6" xfId="35571"/>
    <cellStyle name="Normal 8 2 2 2 54 7" xfId="40302"/>
    <cellStyle name="Normal 8 2 2 2 55" xfId="8653"/>
    <cellStyle name="Normal 8 2 2 2 55 2" xfId="15734"/>
    <cellStyle name="Normal 8 2 2 2 55 3" xfId="20851"/>
    <cellStyle name="Normal 8 2 2 2 55 4" xfId="25894"/>
    <cellStyle name="Normal 8 2 2 2 55 5" xfId="30855"/>
    <cellStyle name="Normal 8 2 2 2 55 6" xfId="35713"/>
    <cellStyle name="Normal 8 2 2 2 55 7" xfId="40444"/>
    <cellStyle name="Normal 8 2 2 2 56" xfId="8409"/>
    <cellStyle name="Normal 8 2 2 2 56 2" xfId="15490"/>
    <cellStyle name="Normal 8 2 2 2 56 3" xfId="20607"/>
    <cellStyle name="Normal 8 2 2 2 56 4" xfId="25650"/>
    <cellStyle name="Normal 8 2 2 2 56 5" xfId="30611"/>
    <cellStyle name="Normal 8 2 2 2 56 6" xfId="35469"/>
    <cellStyle name="Normal 8 2 2 2 56 7" xfId="40200"/>
    <cellStyle name="Normal 8 2 2 2 57" xfId="8358"/>
    <cellStyle name="Normal 8 2 2 2 57 2" xfId="15439"/>
    <cellStyle name="Normal 8 2 2 2 57 3" xfId="20556"/>
    <cellStyle name="Normal 8 2 2 2 57 4" xfId="25599"/>
    <cellStyle name="Normal 8 2 2 2 57 5" xfId="30560"/>
    <cellStyle name="Normal 8 2 2 2 57 6" xfId="35418"/>
    <cellStyle name="Normal 8 2 2 2 57 7" xfId="40149"/>
    <cellStyle name="Normal 8 2 2 2 58" xfId="8698"/>
    <cellStyle name="Normal 8 2 2 2 58 2" xfId="15779"/>
    <cellStyle name="Normal 8 2 2 2 58 3" xfId="20896"/>
    <cellStyle name="Normal 8 2 2 2 58 4" xfId="25939"/>
    <cellStyle name="Normal 8 2 2 2 58 5" xfId="30900"/>
    <cellStyle name="Normal 8 2 2 2 58 6" xfId="35758"/>
    <cellStyle name="Normal 8 2 2 2 58 7" xfId="40489"/>
    <cellStyle name="Normal 8 2 2 2 59" xfId="8859"/>
    <cellStyle name="Normal 8 2 2 2 59 2" xfId="15940"/>
    <cellStyle name="Normal 8 2 2 2 59 3" xfId="21057"/>
    <cellStyle name="Normal 8 2 2 2 59 4" xfId="26100"/>
    <cellStyle name="Normal 8 2 2 2 59 5" xfId="31061"/>
    <cellStyle name="Normal 8 2 2 2 59 6" xfId="35919"/>
    <cellStyle name="Normal 8 2 2 2 59 7" xfId="40650"/>
    <cellStyle name="Normal 8 2 2 2 6" xfId="4408"/>
    <cellStyle name="Normal 8 2 2 2 6 2" xfId="6192"/>
    <cellStyle name="Normal 8 2 2 2 6 3" xfId="18296"/>
    <cellStyle name="Normal 8 2 2 2 6 4" xfId="23339"/>
    <cellStyle name="Normal 8 2 2 2 6 5" xfId="28300"/>
    <cellStyle name="Normal 8 2 2 2 6 6" xfId="33158"/>
    <cellStyle name="Normal 8 2 2 2 6 7" xfId="37889"/>
    <cellStyle name="Normal 8 2 2 2 60" xfId="8801"/>
    <cellStyle name="Normal 8 2 2 2 60 2" xfId="15882"/>
    <cellStyle name="Normal 8 2 2 2 60 3" xfId="20999"/>
    <cellStyle name="Normal 8 2 2 2 60 4" xfId="26042"/>
    <cellStyle name="Normal 8 2 2 2 60 5" xfId="31003"/>
    <cellStyle name="Normal 8 2 2 2 60 6" xfId="35861"/>
    <cellStyle name="Normal 8 2 2 2 60 7" xfId="40592"/>
    <cellStyle name="Normal 8 2 2 2 61" xfId="8814"/>
    <cellStyle name="Normal 8 2 2 2 61 2" xfId="15895"/>
    <cellStyle name="Normal 8 2 2 2 61 3" xfId="21012"/>
    <cellStyle name="Normal 8 2 2 2 61 4" xfId="26055"/>
    <cellStyle name="Normal 8 2 2 2 61 5" xfId="31016"/>
    <cellStyle name="Normal 8 2 2 2 61 6" xfId="35874"/>
    <cellStyle name="Normal 8 2 2 2 61 7" xfId="40605"/>
    <cellStyle name="Normal 8 2 2 2 62" xfId="8255"/>
    <cellStyle name="Normal 8 2 2 2 62 2" xfId="15336"/>
    <cellStyle name="Normal 8 2 2 2 62 3" xfId="20453"/>
    <cellStyle name="Normal 8 2 2 2 62 4" xfId="25496"/>
    <cellStyle name="Normal 8 2 2 2 62 5" xfId="30457"/>
    <cellStyle name="Normal 8 2 2 2 62 6" xfId="35315"/>
    <cellStyle name="Normal 8 2 2 2 62 7" xfId="40046"/>
    <cellStyle name="Normal 8 2 2 2 63" xfId="8346"/>
    <cellStyle name="Normal 8 2 2 2 63 2" xfId="15427"/>
    <cellStyle name="Normal 8 2 2 2 63 3" xfId="20544"/>
    <cellStyle name="Normal 8 2 2 2 63 4" xfId="25587"/>
    <cellStyle name="Normal 8 2 2 2 63 5" xfId="30548"/>
    <cellStyle name="Normal 8 2 2 2 63 6" xfId="35406"/>
    <cellStyle name="Normal 8 2 2 2 63 7" xfId="40137"/>
    <cellStyle name="Normal 8 2 2 2 64" xfId="9383"/>
    <cellStyle name="Normal 8 2 2 2 64 2" xfId="16464"/>
    <cellStyle name="Normal 8 2 2 2 64 3" xfId="21581"/>
    <cellStyle name="Normal 8 2 2 2 64 4" xfId="26624"/>
    <cellStyle name="Normal 8 2 2 2 64 5" xfId="31585"/>
    <cellStyle name="Normal 8 2 2 2 64 6" xfId="36443"/>
    <cellStyle name="Normal 8 2 2 2 64 7" xfId="41174"/>
    <cellStyle name="Normal 8 2 2 2 65" xfId="9340"/>
    <cellStyle name="Normal 8 2 2 2 65 2" xfId="16421"/>
    <cellStyle name="Normal 8 2 2 2 65 3" xfId="21538"/>
    <cellStyle name="Normal 8 2 2 2 65 4" xfId="26581"/>
    <cellStyle name="Normal 8 2 2 2 65 5" xfId="31542"/>
    <cellStyle name="Normal 8 2 2 2 65 6" xfId="36400"/>
    <cellStyle name="Normal 8 2 2 2 65 7" xfId="41131"/>
    <cellStyle name="Normal 8 2 2 2 66" xfId="9448"/>
    <cellStyle name="Normal 8 2 2 2 66 2" xfId="16529"/>
    <cellStyle name="Normal 8 2 2 2 66 3" xfId="21646"/>
    <cellStyle name="Normal 8 2 2 2 66 4" xfId="26689"/>
    <cellStyle name="Normal 8 2 2 2 66 5" xfId="31650"/>
    <cellStyle name="Normal 8 2 2 2 66 6" xfId="36508"/>
    <cellStyle name="Normal 8 2 2 2 66 7" xfId="41239"/>
    <cellStyle name="Normal 8 2 2 2 67" xfId="9374"/>
    <cellStyle name="Normal 8 2 2 2 67 2" xfId="16455"/>
    <cellStyle name="Normal 8 2 2 2 67 3" xfId="21572"/>
    <cellStyle name="Normal 8 2 2 2 67 4" xfId="26615"/>
    <cellStyle name="Normal 8 2 2 2 67 5" xfId="31576"/>
    <cellStyle name="Normal 8 2 2 2 67 6" xfId="36434"/>
    <cellStyle name="Normal 8 2 2 2 67 7" xfId="41165"/>
    <cellStyle name="Normal 8 2 2 2 68" xfId="9317"/>
    <cellStyle name="Normal 8 2 2 2 68 2" xfId="16398"/>
    <cellStyle name="Normal 8 2 2 2 68 3" xfId="21515"/>
    <cellStyle name="Normal 8 2 2 2 68 4" xfId="26558"/>
    <cellStyle name="Normal 8 2 2 2 68 5" xfId="31519"/>
    <cellStyle name="Normal 8 2 2 2 68 6" xfId="36377"/>
    <cellStyle name="Normal 8 2 2 2 68 7" xfId="41108"/>
    <cellStyle name="Normal 8 2 2 2 69" xfId="9290"/>
    <cellStyle name="Normal 8 2 2 2 69 2" xfId="16371"/>
    <cellStyle name="Normal 8 2 2 2 69 3" xfId="21488"/>
    <cellStyle name="Normal 8 2 2 2 69 4" xfId="26531"/>
    <cellStyle name="Normal 8 2 2 2 69 5" xfId="31492"/>
    <cellStyle name="Normal 8 2 2 2 69 6" xfId="36350"/>
    <cellStyle name="Normal 8 2 2 2 69 7" xfId="41081"/>
    <cellStyle name="Normal 8 2 2 2 7" xfId="4464"/>
    <cellStyle name="Normal 8 2 2 2 7 2" xfId="6118"/>
    <cellStyle name="Normal 8 2 2 2 7 3" xfId="18222"/>
    <cellStyle name="Normal 8 2 2 2 7 4" xfId="23265"/>
    <cellStyle name="Normal 8 2 2 2 7 5" xfId="28226"/>
    <cellStyle name="Normal 8 2 2 2 7 6" xfId="33084"/>
    <cellStyle name="Normal 8 2 2 2 7 7" xfId="37815"/>
    <cellStyle name="Normal 8 2 2 2 70" xfId="9409"/>
    <cellStyle name="Normal 8 2 2 2 70 2" xfId="16490"/>
    <cellStyle name="Normal 8 2 2 2 70 3" xfId="21607"/>
    <cellStyle name="Normal 8 2 2 2 70 4" xfId="26650"/>
    <cellStyle name="Normal 8 2 2 2 70 5" xfId="31611"/>
    <cellStyle name="Normal 8 2 2 2 70 6" xfId="36469"/>
    <cellStyle name="Normal 8 2 2 2 70 7" xfId="41200"/>
    <cellStyle name="Normal 8 2 2 2 71" xfId="9411"/>
    <cellStyle name="Normal 8 2 2 2 71 2" xfId="16492"/>
    <cellStyle name="Normal 8 2 2 2 71 3" xfId="21609"/>
    <cellStyle name="Normal 8 2 2 2 71 4" xfId="26652"/>
    <cellStyle name="Normal 8 2 2 2 71 5" xfId="31613"/>
    <cellStyle name="Normal 8 2 2 2 71 6" xfId="36471"/>
    <cellStyle name="Normal 8 2 2 2 71 7" xfId="41202"/>
    <cellStyle name="Normal 8 2 2 2 72" xfId="9122"/>
    <cellStyle name="Normal 8 2 2 2 72 2" xfId="16203"/>
    <cellStyle name="Normal 8 2 2 2 72 3" xfId="21320"/>
    <cellStyle name="Normal 8 2 2 2 72 4" xfId="26363"/>
    <cellStyle name="Normal 8 2 2 2 72 5" xfId="31324"/>
    <cellStyle name="Normal 8 2 2 2 72 6" xfId="36182"/>
    <cellStyle name="Normal 8 2 2 2 72 7" xfId="40913"/>
    <cellStyle name="Normal 8 2 2 2 73" xfId="9493"/>
    <cellStyle name="Normal 8 2 2 2 73 2" xfId="16574"/>
    <cellStyle name="Normal 8 2 2 2 73 3" xfId="21691"/>
    <cellStyle name="Normal 8 2 2 2 73 4" xfId="26734"/>
    <cellStyle name="Normal 8 2 2 2 73 5" xfId="31695"/>
    <cellStyle name="Normal 8 2 2 2 73 6" xfId="36553"/>
    <cellStyle name="Normal 8 2 2 2 73 7" xfId="41284"/>
    <cellStyle name="Normal 8 2 2 2 74" xfId="9271"/>
    <cellStyle name="Normal 8 2 2 2 74 2" xfId="16352"/>
    <cellStyle name="Normal 8 2 2 2 74 3" xfId="21469"/>
    <cellStyle name="Normal 8 2 2 2 74 4" xfId="26512"/>
    <cellStyle name="Normal 8 2 2 2 74 5" xfId="31473"/>
    <cellStyle name="Normal 8 2 2 2 74 6" xfId="36331"/>
    <cellStyle name="Normal 8 2 2 2 74 7" xfId="41062"/>
    <cellStyle name="Normal 8 2 2 2 75" xfId="9319"/>
    <cellStyle name="Normal 8 2 2 2 75 2" xfId="16400"/>
    <cellStyle name="Normal 8 2 2 2 75 3" xfId="21517"/>
    <cellStyle name="Normal 8 2 2 2 75 4" xfId="26560"/>
    <cellStyle name="Normal 8 2 2 2 75 5" xfId="31521"/>
    <cellStyle name="Normal 8 2 2 2 75 6" xfId="36379"/>
    <cellStyle name="Normal 8 2 2 2 75 7" xfId="41110"/>
    <cellStyle name="Normal 8 2 2 2 76" xfId="9880"/>
    <cellStyle name="Normal 8 2 2 2 76 2" xfId="16961"/>
    <cellStyle name="Normal 8 2 2 2 76 3" xfId="22078"/>
    <cellStyle name="Normal 8 2 2 2 76 4" xfId="27121"/>
    <cellStyle name="Normal 8 2 2 2 76 5" xfId="32082"/>
    <cellStyle name="Normal 8 2 2 2 76 6" xfId="36940"/>
    <cellStyle name="Normal 8 2 2 2 76 7" xfId="41671"/>
    <cellStyle name="Normal 8 2 2 2 77" xfId="9856"/>
    <cellStyle name="Normal 8 2 2 2 77 2" xfId="16937"/>
    <cellStyle name="Normal 8 2 2 2 77 3" xfId="22054"/>
    <cellStyle name="Normal 8 2 2 2 77 4" xfId="27097"/>
    <cellStyle name="Normal 8 2 2 2 77 5" xfId="32058"/>
    <cellStyle name="Normal 8 2 2 2 77 6" xfId="36916"/>
    <cellStyle name="Normal 8 2 2 2 77 7" xfId="41647"/>
    <cellStyle name="Normal 8 2 2 2 78" xfId="9925"/>
    <cellStyle name="Normal 8 2 2 2 78 2" xfId="17006"/>
    <cellStyle name="Normal 8 2 2 2 78 3" xfId="22123"/>
    <cellStyle name="Normal 8 2 2 2 78 4" xfId="27166"/>
    <cellStyle name="Normal 8 2 2 2 78 5" xfId="32127"/>
    <cellStyle name="Normal 8 2 2 2 78 6" xfId="36985"/>
    <cellStyle name="Normal 8 2 2 2 78 7" xfId="41716"/>
    <cellStyle name="Normal 8 2 2 2 79" xfId="9873"/>
    <cellStyle name="Normal 8 2 2 2 79 2" xfId="16954"/>
    <cellStyle name="Normal 8 2 2 2 79 3" xfId="22071"/>
    <cellStyle name="Normal 8 2 2 2 79 4" xfId="27114"/>
    <cellStyle name="Normal 8 2 2 2 79 5" xfId="32075"/>
    <cellStyle name="Normal 8 2 2 2 79 6" xfId="36933"/>
    <cellStyle name="Normal 8 2 2 2 79 7" xfId="41664"/>
    <cellStyle name="Normal 8 2 2 2 8" xfId="4572"/>
    <cellStyle name="Normal 8 2 2 2 8 2" xfId="6086"/>
    <cellStyle name="Normal 8 2 2 2 8 3" xfId="18190"/>
    <cellStyle name="Normal 8 2 2 2 8 4" xfId="23233"/>
    <cellStyle name="Normal 8 2 2 2 8 5" xfId="28194"/>
    <cellStyle name="Normal 8 2 2 2 8 6" xfId="33052"/>
    <cellStyle name="Normal 8 2 2 2 8 7" xfId="37783"/>
    <cellStyle name="Normal 8 2 2 2 80" xfId="9846"/>
    <cellStyle name="Normal 8 2 2 2 80 2" xfId="16927"/>
    <cellStyle name="Normal 8 2 2 2 80 3" xfId="22044"/>
    <cellStyle name="Normal 8 2 2 2 80 4" xfId="27087"/>
    <cellStyle name="Normal 8 2 2 2 80 5" xfId="32048"/>
    <cellStyle name="Normal 8 2 2 2 80 6" xfId="36906"/>
    <cellStyle name="Normal 8 2 2 2 80 7" xfId="41637"/>
    <cellStyle name="Normal 8 2 2 2 81" xfId="9836"/>
    <cellStyle name="Normal 8 2 2 2 81 2" xfId="16917"/>
    <cellStyle name="Normal 8 2 2 2 81 3" xfId="22034"/>
    <cellStyle name="Normal 8 2 2 2 81 4" xfId="27077"/>
    <cellStyle name="Normal 8 2 2 2 81 5" xfId="32038"/>
    <cellStyle name="Normal 8 2 2 2 81 6" xfId="36896"/>
    <cellStyle name="Normal 8 2 2 2 81 7" xfId="41627"/>
    <cellStyle name="Normal 8 2 2 2 82" xfId="10210"/>
    <cellStyle name="Normal 8 2 2 2 82 2" xfId="17291"/>
    <cellStyle name="Normal 8 2 2 2 82 3" xfId="22408"/>
    <cellStyle name="Normal 8 2 2 2 82 4" xfId="27451"/>
    <cellStyle name="Normal 8 2 2 2 82 5" xfId="32412"/>
    <cellStyle name="Normal 8 2 2 2 82 6" xfId="37270"/>
    <cellStyle name="Normal 8 2 2 2 82 7" xfId="42001"/>
    <cellStyle name="Normal 8 2 2 2 83" xfId="10186"/>
    <cellStyle name="Normal 8 2 2 2 83 2" xfId="17267"/>
    <cellStyle name="Normal 8 2 2 2 83 3" xfId="22384"/>
    <cellStyle name="Normal 8 2 2 2 83 4" xfId="27427"/>
    <cellStyle name="Normal 8 2 2 2 83 5" xfId="32388"/>
    <cellStyle name="Normal 8 2 2 2 83 6" xfId="37246"/>
    <cellStyle name="Normal 8 2 2 2 83 7" xfId="41977"/>
    <cellStyle name="Normal 8 2 2 2 84" xfId="10255"/>
    <cellStyle name="Normal 8 2 2 2 84 2" xfId="17336"/>
    <cellStyle name="Normal 8 2 2 2 84 3" xfId="22453"/>
    <cellStyle name="Normal 8 2 2 2 84 4" xfId="27496"/>
    <cellStyle name="Normal 8 2 2 2 84 5" xfId="32457"/>
    <cellStyle name="Normal 8 2 2 2 84 6" xfId="37315"/>
    <cellStyle name="Normal 8 2 2 2 84 7" xfId="42046"/>
    <cellStyle name="Normal 8 2 2 2 85" xfId="10203"/>
    <cellStyle name="Normal 8 2 2 2 85 2" xfId="17284"/>
    <cellStyle name="Normal 8 2 2 2 85 3" xfId="22401"/>
    <cellStyle name="Normal 8 2 2 2 85 4" xfId="27444"/>
    <cellStyle name="Normal 8 2 2 2 85 5" xfId="32405"/>
    <cellStyle name="Normal 8 2 2 2 85 6" xfId="37263"/>
    <cellStyle name="Normal 8 2 2 2 85 7" xfId="41994"/>
    <cellStyle name="Normal 8 2 2 2 86" xfId="10176"/>
    <cellStyle name="Normal 8 2 2 2 86 2" xfId="17257"/>
    <cellStyle name="Normal 8 2 2 2 86 3" xfId="22374"/>
    <cellStyle name="Normal 8 2 2 2 86 4" xfId="27417"/>
    <cellStyle name="Normal 8 2 2 2 86 5" xfId="32378"/>
    <cellStyle name="Normal 8 2 2 2 86 6" xfId="37236"/>
    <cellStyle name="Normal 8 2 2 2 86 7" xfId="41967"/>
    <cellStyle name="Normal 8 2 2 2 87" xfId="10166"/>
    <cellStyle name="Normal 8 2 2 2 87 2" xfId="17247"/>
    <cellStyle name="Normal 8 2 2 2 87 3" xfId="22364"/>
    <cellStyle name="Normal 8 2 2 2 87 4" xfId="27407"/>
    <cellStyle name="Normal 8 2 2 2 87 5" xfId="32368"/>
    <cellStyle name="Normal 8 2 2 2 87 6" xfId="37226"/>
    <cellStyle name="Normal 8 2 2 2 87 7" xfId="41957"/>
    <cellStyle name="Normal 8 2 2 2 88" xfId="13024"/>
    <cellStyle name="Normal 8 2 2 2 89" xfId="14031"/>
    <cellStyle name="Normal 8 2 2 2 9" xfId="4557"/>
    <cellStyle name="Normal 8 2 2 2 9 2" xfId="6229"/>
    <cellStyle name="Normal 8 2 2 2 9 3" xfId="18333"/>
    <cellStyle name="Normal 8 2 2 2 9 4" xfId="23376"/>
    <cellStyle name="Normal 8 2 2 2 9 5" xfId="28337"/>
    <cellStyle name="Normal 8 2 2 2 9 6" xfId="33195"/>
    <cellStyle name="Normal 8 2 2 2 9 7" xfId="37926"/>
    <cellStyle name="Normal 8 2 2 2 90" xfId="17749"/>
    <cellStyle name="Normal 8 2 2 2 91" xfId="22819"/>
    <cellStyle name="Normal 8 2 2 2 92" xfId="27809"/>
    <cellStyle name="Normal 8 2 2 2 93" xfId="32697"/>
    <cellStyle name="Normal 8 2 2 3" xfId="2521"/>
    <cellStyle name="Normal 8 2 2 3 2" xfId="13067"/>
    <cellStyle name="Normal 8 2 2 3 3" xfId="11635"/>
    <cellStyle name="Normal 8 2 2 3 4" xfId="12041"/>
    <cellStyle name="Normal 8 2 2 3 5" xfId="13335"/>
    <cellStyle name="Normal 8 2 2 3 6" xfId="13357"/>
    <cellStyle name="Normal 8 2 2 3 7" xfId="12141"/>
    <cellStyle name="Normal 8 2 2 4" xfId="12245"/>
    <cellStyle name="Normal 8 2 2 5" xfId="13897"/>
    <cellStyle name="Normal 8 2 2 6" xfId="17630"/>
    <cellStyle name="Normal 8 2 2 7" xfId="22716"/>
    <cellStyle name="Normal 8 2 2 8" xfId="27726"/>
    <cellStyle name="Normal 8 2 2 9" xfId="32646"/>
    <cellStyle name="Normal 8 2 20" xfId="4996"/>
    <cellStyle name="Normal 8 2 20 2" xfId="6705"/>
    <cellStyle name="Normal 8 2 20 3" xfId="18826"/>
    <cellStyle name="Normal 8 2 20 4" xfId="23869"/>
    <cellStyle name="Normal 8 2 20 5" xfId="28830"/>
    <cellStyle name="Normal 8 2 20 6" xfId="33688"/>
    <cellStyle name="Normal 8 2 20 7" xfId="38419"/>
    <cellStyle name="Normal 8 2 21" xfId="5306"/>
    <cellStyle name="Normal 8 2 21 2" xfId="6824"/>
    <cellStyle name="Normal 8 2 21 3" xfId="18945"/>
    <cellStyle name="Normal 8 2 21 4" xfId="23988"/>
    <cellStyle name="Normal 8 2 21 5" xfId="28949"/>
    <cellStyle name="Normal 8 2 21 6" xfId="33807"/>
    <cellStyle name="Normal 8 2 21 7" xfId="38538"/>
    <cellStyle name="Normal 8 2 22" xfId="5555"/>
    <cellStyle name="Normal 8 2 22 2" xfId="6684"/>
    <cellStyle name="Normal 8 2 22 3" xfId="18804"/>
    <cellStyle name="Normal 8 2 22 4" xfId="23847"/>
    <cellStyle name="Normal 8 2 22 5" xfId="28808"/>
    <cellStyle name="Normal 8 2 22 6" xfId="33666"/>
    <cellStyle name="Normal 8 2 22 7" xfId="38397"/>
    <cellStyle name="Normal 8 2 23" xfId="5244"/>
    <cellStyle name="Normal 8 2 23 2" xfId="6675"/>
    <cellStyle name="Normal 8 2 23 3" xfId="18795"/>
    <cellStyle name="Normal 8 2 23 4" xfId="23838"/>
    <cellStyle name="Normal 8 2 23 5" xfId="28799"/>
    <cellStyle name="Normal 8 2 23 6" xfId="33657"/>
    <cellStyle name="Normal 8 2 23 7" xfId="38388"/>
    <cellStyle name="Normal 8 2 24" xfId="5220"/>
    <cellStyle name="Normal 8 2 24 2" xfId="7019"/>
    <cellStyle name="Normal 8 2 24 3" xfId="19158"/>
    <cellStyle name="Normal 8 2 24 4" xfId="24201"/>
    <cellStyle name="Normal 8 2 24 5" xfId="29162"/>
    <cellStyle name="Normal 8 2 24 6" xfId="34020"/>
    <cellStyle name="Normal 8 2 24 7" xfId="38751"/>
    <cellStyle name="Normal 8 2 25" xfId="5189"/>
    <cellStyle name="Normal 8 2 25 2" xfId="7308"/>
    <cellStyle name="Normal 8 2 25 3" xfId="19478"/>
    <cellStyle name="Normal 8 2 25 4" xfId="24521"/>
    <cellStyle name="Normal 8 2 25 5" xfId="29482"/>
    <cellStyle name="Normal 8 2 25 6" xfId="34340"/>
    <cellStyle name="Normal 8 2 25 7" xfId="39071"/>
    <cellStyle name="Normal 8 2 26" xfId="5255"/>
    <cellStyle name="Normal 8 2 26 2" xfId="6946"/>
    <cellStyle name="Normal 8 2 26 3" xfId="19076"/>
    <cellStyle name="Normal 8 2 26 4" xfId="24119"/>
    <cellStyle name="Normal 8 2 26 5" xfId="29080"/>
    <cellStyle name="Normal 8 2 26 6" xfId="33938"/>
    <cellStyle name="Normal 8 2 26 7" xfId="38669"/>
    <cellStyle name="Normal 8 2 27" xfId="5195"/>
    <cellStyle name="Normal 8 2 27 2" xfId="6916"/>
    <cellStyle name="Normal 8 2 27 3" xfId="19044"/>
    <cellStyle name="Normal 8 2 27 4" xfId="24087"/>
    <cellStyle name="Normal 8 2 27 5" xfId="29048"/>
    <cellStyle name="Normal 8 2 27 6" xfId="33906"/>
    <cellStyle name="Normal 8 2 27 7" xfId="38637"/>
    <cellStyle name="Normal 8 2 28" xfId="5577"/>
    <cellStyle name="Normal 8 2 28 2" xfId="7014"/>
    <cellStyle name="Normal 8 2 28 3" xfId="19153"/>
    <cellStyle name="Normal 8 2 28 4" xfId="24196"/>
    <cellStyle name="Normal 8 2 28 5" xfId="29157"/>
    <cellStyle name="Normal 8 2 28 6" xfId="34015"/>
    <cellStyle name="Normal 8 2 28 7" xfId="38746"/>
    <cellStyle name="Normal 8 2 29" xfId="5487"/>
    <cellStyle name="Normal 8 2 29 2" xfId="6957"/>
    <cellStyle name="Normal 8 2 29 3" xfId="19088"/>
    <cellStyle name="Normal 8 2 29 4" xfId="24131"/>
    <cellStyle name="Normal 8 2 29 5" xfId="29092"/>
    <cellStyle name="Normal 8 2 29 6" xfId="33950"/>
    <cellStyle name="Normal 8 2 29 7" xfId="38681"/>
    <cellStyle name="Normal 8 2 3" xfId="1650"/>
    <cellStyle name="Normal 8 2 3 2" xfId="2505"/>
    <cellStyle name="Normal 8 2 3 2 10" xfId="4701"/>
    <cellStyle name="Normal 8 2 3 2 10 2" xfId="5845"/>
    <cellStyle name="Normal 8 2 3 2 10 3" xfId="17945"/>
    <cellStyle name="Normal 8 2 3 2 10 4" xfId="22988"/>
    <cellStyle name="Normal 8 2 3 2 10 5" xfId="27949"/>
    <cellStyle name="Normal 8 2 3 2 10 6" xfId="32807"/>
    <cellStyle name="Normal 8 2 3 2 10 7" xfId="37538"/>
    <cellStyle name="Normal 8 2 3 2 11" xfId="4858"/>
    <cellStyle name="Normal 8 2 3 2 11 2" xfId="6365"/>
    <cellStyle name="Normal 8 2 3 2 11 3" xfId="18474"/>
    <cellStyle name="Normal 8 2 3 2 11 4" xfId="23517"/>
    <cellStyle name="Normal 8 2 3 2 11 5" xfId="28478"/>
    <cellStyle name="Normal 8 2 3 2 11 6" xfId="33336"/>
    <cellStyle name="Normal 8 2 3 2 11 7" xfId="38067"/>
    <cellStyle name="Normal 8 2 3 2 12" xfId="4765"/>
    <cellStyle name="Normal 8 2 3 2 12 2" xfId="6094"/>
    <cellStyle name="Normal 8 2 3 2 12 3" xfId="18198"/>
    <cellStyle name="Normal 8 2 3 2 12 4" xfId="23241"/>
    <cellStyle name="Normal 8 2 3 2 12 5" xfId="28202"/>
    <cellStyle name="Normal 8 2 3 2 12 6" xfId="33060"/>
    <cellStyle name="Normal 8 2 3 2 12 7" xfId="37791"/>
    <cellStyle name="Normal 8 2 3 2 13" xfId="4854"/>
    <cellStyle name="Normal 8 2 3 2 13 2" xfId="6168"/>
    <cellStyle name="Normal 8 2 3 2 13 3" xfId="18272"/>
    <cellStyle name="Normal 8 2 3 2 13 4" xfId="23315"/>
    <cellStyle name="Normal 8 2 3 2 13 5" xfId="28276"/>
    <cellStyle name="Normal 8 2 3 2 13 6" xfId="33134"/>
    <cellStyle name="Normal 8 2 3 2 13 7" xfId="37865"/>
    <cellStyle name="Normal 8 2 3 2 14" xfId="4920"/>
    <cellStyle name="Normal 8 2 3 2 14 2" xfId="5924"/>
    <cellStyle name="Normal 8 2 3 2 14 3" xfId="18026"/>
    <cellStyle name="Normal 8 2 3 2 14 4" xfId="23069"/>
    <cellStyle name="Normal 8 2 3 2 14 5" xfId="28030"/>
    <cellStyle name="Normal 8 2 3 2 14 6" xfId="32888"/>
    <cellStyle name="Normal 8 2 3 2 14 7" xfId="37619"/>
    <cellStyle name="Normal 8 2 3 2 15" xfId="5083"/>
    <cellStyle name="Normal 8 2 3 2 15 2" xfId="6356"/>
    <cellStyle name="Normal 8 2 3 2 15 3" xfId="18464"/>
    <cellStyle name="Normal 8 2 3 2 15 4" xfId="23507"/>
    <cellStyle name="Normal 8 2 3 2 15 5" xfId="28468"/>
    <cellStyle name="Normal 8 2 3 2 15 6" xfId="33326"/>
    <cellStyle name="Normal 8 2 3 2 15 7" xfId="38057"/>
    <cellStyle name="Normal 8 2 3 2 16" xfId="4985"/>
    <cellStyle name="Normal 8 2 3 2 16 2" xfId="6461"/>
    <cellStyle name="Normal 8 2 3 2 16 3" xfId="18571"/>
    <cellStyle name="Normal 8 2 3 2 16 4" xfId="23614"/>
    <cellStyle name="Normal 8 2 3 2 16 5" xfId="28575"/>
    <cellStyle name="Normal 8 2 3 2 16 6" xfId="33433"/>
    <cellStyle name="Normal 8 2 3 2 16 7" xfId="38164"/>
    <cellStyle name="Normal 8 2 3 2 17" xfId="5117"/>
    <cellStyle name="Normal 8 2 3 2 17 2" xfId="6317"/>
    <cellStyle name="Normal 8 2 3 2 17 3" xfId="18425"/>
    <cellStyle name="Normal 8 2 3 2 17 4" xfId="23468"/>
    <cellStyle name="Normal 8 2 3 2 17 5" xfId="28429"/>
    <cellStyle name="Normal 8 2 3 2 17 6" xfId="33287"/>
    <cellStyle name="Normal 8 2 3 2 17 7" xfId="38018"/>
    <cellStyle name="Normal 8 2 3 2 18" xfId="5060"/>
    <cellStyle name="Normal 8 2 3 2 18 2" xfId="6777"/>
    <cellStyle name="Normal 8 2 3 2 18 3" xfId="18898"/>
    <cellStyle name="Normal 8 2 3 2 18 4" xfId="23941"/>
    <cellStyle name="Normal 8 2 3 2 18 5" xfId="28902"/>
    <cellStyle name="Normal 8 2 3 2 18 6" xfId="33760"/>
    <cellStyle name="Normal 8 2 3 2 18 7" xfId="38491"/>
    <cellStyle name="Normal 8 2 3 2 19" xfId="5437"/>
    <cellStyle name="Normal 8 2 3 2 19 2" xfId="6686"/>
    <cellStyle name="Normal 8 2 3 2 19 3" xfId="18806"/>
    <cellStyle name="Normal 8 2 3 2 19 4" xfId="23849"/>
    <cellStyle name="Normal 8 2 3 2 19 5" xfId="28810"/>
    <cellStyle name="Normal 8 2 3 2 19 6" xfId="33668"/>
    <cellStyle name="Normal 8 2 3 2 19 7" xfId="38399"/>
    <cellStyle name="Normal 8 2 3 2 2" xfId="4302"/>
    <cellStyle name="Normal 8 2 3 2 2 2" xfId="6216"/>
    <cellStyle name="Normal 8 2 3 2 2 3" xfId="18320"/>
    <cellStyle name="Normal 8 2 3 2 2 4" xfId="23363"/>
    <cellStyle name="Normal 8 2 3 2 2 5" xfId="28324"/>
    <cellStyle name="Normal 8 2 3 2 2 6" xfId="33182"/>
    <cellStyle name="Normal 8 2 3 2 2 7" xfId="37913"/>
    <cellStyle name="Normal 8 2 3 2 20" xfId="5246"/>
    <cellStyle name="Normal 8 2 3 2 20 2" xfId="6785"/>
    <cellStyle name="Normal 8 2 3 2 20 3" xfId="18906"/>
    <cellStyle name="Normal 8 2 3 2 20 4" xfId="23949"/>
    <cellStyle name="Normal 8 2 3 2 20 5" xfId="28910"/>
    <cellStyle name="Normal 8 2 3 2 20 6" xfId="33768"/>
    <cellStyle name="Normal 8 2 3 2 20 7" xfId="38499"/>
    <cellStyle name="Normal 8 2 3 2 21" xfId="5433"/>
    <cellStyle name="Normal 8 2 3 2 21 2" xfId="6802"/>
    <cellStyle name="Normal 8 2 3 2 21 3" xfId="18923"/>
    <cellStyle name="Normal 8 2 3 2 21 4" xfId="23966"/>
    <cellStyle name="Normal 8 2 3 2 21 5" xfId="28927"/>
    <cellStyle name="Normal 8 2 3 2 21 6" xfId="33785"/>
    <cellStyle name="Normal 8 2 3 2 21 7" xfId="38516"/>
    <cellStyle name="Normal 8 2 3 2 22" xfId="5586"/>
    <cellStyle name="Normal 8 2 3 2 22 2" xfId="7181"/>
    <cellStyle name="Normal 8 2 3 2 22 3" xfId="19336"/>
    <cellStyle name="Normal 8 2 3 2 22 4" xfId="24379"/>
    <cellStyle name="Normal 8 2 3 2 22 5" xfId="29340"/>
    <cellStyle name="Normal 8 2 3 2 22 6" xfId="34198"/>
    <cellStyle name="Normal 8 2 3 2 22 7" xfId="38929"/>
    <cellStyle name="Normal 8 2 3 2 23" xfId="5589"/>
    <cellStyle name="Normal 8 2 3 2 23 2" xfId="6949"/>
    <cellStyle name="Normal 8 2 3 2 23 3" xfId="19079"/>
    <cellStyle name="Normal 8 2 3 2 23 4" xfId="24122"/>
    <cellStyle name="Normal 8 2 3 2 23 5" xfId="29083"/>
    <cellStyle name="Normal 8 2 3 2 23 6" xfId="33941"/>
    <cellStyle name="Normal 8 2 3 2 23 7" xfId="38672"/>
    <cellStyle name="Normal 8 2 3 2 24" xfId="5404"/>
    <cellStyle name="Normal 8 2 3 2 24 2" xfId="7189"/>
    <cellStyle name="Normal 8 2 3 2 24 3" xfId="19344"/>
    <cellStyle name="Normal 8 2 3 2 24 4" xfId="24387"/>
    <cellStyle name="Normal 8 2 3 2 24 5" xfId="29348"/>
    <cellStyle name="Normal 8 2 3 2 24 6" xfId="34206"/>
    <cellStyle name="Normal 8 2 3 2 24 7" xfId="38937"/>
    <cellStyle name="Normal 8 2 3 2 25" xfId="5297"/>
    <cellStyle name="Normal 8 2 3 2 25 2" xfId="7245"/>
    <cellStyle name="Normal 8 2 3 2 25 3" xfId="19407"/>
    <cellStyle name="Normal 8 2 3 2 25 4" xfId="24450"/>
    <cellStyle name="Normal 8 2 3 2 25 5" xfId="29411"/>
    <cellStyle name="Normal 8 2 3 2 25 6" xfId="34269"/>
    <cellStyle name="Normal 8 2 3 2 25 7" xfId="39000"/>
    <cellStyle name="Normal 8 2 3 2 26" xfId="5265"/>
    <cellStyle name="Normal 8 2 3 2 26 2" xfId="6997"/>
    <cellStyle name="Normal 8 2 3 2 26 3" xfId="19135"/>
    <cellStyle name="Normal 8 2 3 2 26 4" xfId="24178"/>
    <cellStyle name="Normal 8 2 3 2 26 5" xfId="29139"/>
    <cellStyle name="Normal 8 2 3 2 26 6" xfId="33997"/>
    <cellStyle name="Normal 8 2 3 2 26 7" xfId="38728"/>
    <cellStyle name="Normal 8 2 3 2 27" xfId="5254"/>
    <cellStyle name="Normal 8 2 3 2 27 2" xfId="7283"/>
    <cellStyle name="Normal 8 2 3 2 27 3" xfId="19450"/>
    <cellStyle name="Normal 8 2 3 2 27 4" xfId="24493"/>
    <cellStyle name="Normal 8 2 3 2 27 5" xfId="29454"/>
    <cellStyle name="Normal 8 2 3 2 27 6" xfId="34312"/>
    <cellStyle name="Normal 8 2 3 2 27 7" xfId="39043"/>
    <cellStyle name="Normal 8 2 3 2 28" xfId="5787"/>
    <cellStyle name="Normal 8 2 3 2 28 2" xfId="14424"/>
    <cellStyle name="Normal 8 2 3 2 28 3" xfId="19439"/>
    <cellStyle name="Normal 8 2 3 2 28 4" xfId="24482"/>
    <cellStyle name="Normal 8 2 3 2 28 5" xfId="29443"/>
    <cellStyle name="Normal 8 2 3 2 28 6" xfId="34301"/>
    <cellStyle name="Normal 8 2 3 2 28 7" xfId="39032"/>
    <cellStyle name="Normal 8 2 3 2 29" xfId="6941"/>
    <cellStyle name="Normal 8 2 3 2 29 2" xfId="14254"/>
    <cellStyle name="Normal 8 2 3 2 29 3" xfId="19070"/>
    <cellStyle name="Normal 8 2 3 2 29 4" xfId="24113"/>
    <cellStyle name="Normal 8 2 3 2 29 5" xfId="29074"/>
    <cellStyle name="Normal 8 2 3 2 29 6" xfId="33932"/>
    <cellStyle name="Normal 8 2 3 2 29 7" xfId="38663"/>
    <cellStyle name="Normal 8 2 3 2 3" xfId="4224"/>
    <cellStyle name="Normal 8 2 3 2 3 2" xfId="5894"/>
    <cellStyle name="Normal 8 2 3 2 3 3" xfId="17994"/>
    <cellStyle name="Normal 8 2 3 2 3 4" xfId="23037"/>
    <cellStyle name="Normal 8 2 3 2 3 5" xfId="27998"/>
    <cellStyle name="Normal 8 2 3 2 3 6" xfId="32856"/>
    <cellStyle name="Normal 8 2 3 2 3 7" xfId="37587"/>
    <cellStyle name="Normal 8 2 3 2 30" xfId="6913"/>
    <cellStyle name="Normal 8 2 3 2 30 2" xfId="14240"/>
    <cellStyle name="Normal 8 2 3 2 30 3" xfId="19040"/>
    <cellStyle name="Normal 8 2 3 2 30 4" xfId="24083"/>
    <cellStyle name="Normal 8 2 3 2 30 5" xfId="29044"/>
    <cellStyle name="Normal 8 2 3 2 30 6" xfId="33902"/>
    <cellStyle name="Normal 8 2 3 2 30 7" xfId="38633"/>
    <cellStyle name="Normal 8 2 3 2 31" xfId="7280"/>
    <cellStyle name="Normal 8 2 3 2 31 2" xfId="14429"/>
    <cellStyle name="Normal 8 2 3 2 31 3" xfId="19447"/>
    <cellStyle name="Normal 8 2 3 2 31 4" xfId="24490"/>
    <cellStyle name="Normal 8 2 3 2 31 5" xfId="29451"/>
    <cellStyle name="Normal 8 2 3 2 31 6" xfId="34309"/>
    <cellStyle name="Normal 8 2 3 2 31 7" xfId="39040"/>
    <cellStyle name="Normal 8 2 3 2 32" xfId="7093"/>
    <cellStyle name="Normal 8 2 3 2 32 2" xfId="14338"/>
    <cellStyle name="Normal 8 2 3 2 32 3" xfId="19238"/>
    <cellStyle name="Normal 8 2 3 2 32 4" xfId="24281"/>
    <cellStyle name="Normal 8 2 3 2 32 5" xfId="29242"/>
    <cellStyle name="Normal 8 2 3 2 32 6" xfId="34100"/>
    <cellStyle name="Normal 8 2 3 2 32 7" xfId="38831"/>
    <cellStyle name="Normal 8 2 3 2 33" xfId="7143"/>
    <cellStyle name="Normal 8 2 3 2 33 2" xfId="14370"/>
    <cellStyle name="Normal 8 2 3 2 33 3" xfId="19295"/>
    <cellStyle name="Normal 8 2 3 2 33 4" xfId="24338"/>
    <cellStyle name="Normal 8 2 3 2 33 5" xfId="29299"/>
    <cellStyle name="Normal 8 2 3 2 33 6" xfId="34157"/>
    <cellStyle name="Normal 8 2 3 2 33 7" xfId="38888"/>
    <cellStyle name="Normal 8 2 3 2 34" xfId="7842"/>
    <cellStyle name="Normal 8 2 3 2 34 2" xfId="14922"/>
    <cellStyle name="Normal 8 2 3 2 34 3" xfId="20039"/>
    <cellStyle name="Normal 8 2 3 2 34 4" xfId="25082"/>
    <cellStyle name="Normal 8 2 3 2 34 5" xfId="30043"/>
    <cellStyle name="Normal 8 2 3 2 34 6" xfId="34901"/>
    <cellStyle name="Normal 8 2 3 2 34 7" xfId="39632"/>
    <cellStyle name="Normal 8 2 3 2 35" xfId="7553"/>
    <cellStyle name="Normal 8 2 3 2 35 2" xfId="14632"/>
    <cellStyle name="Normal 8 2 3 2 35 3" xfId="19749"/>
    <cellStyle name="Normal 8 2 3 2 35 4" xfId="24792"/>
    <cellStyle name="Normal 8 2 3 2 35 5" xfId="29753"/>
    <cellStyle name="Normal 8 2 3 2 35 6" xfId="34611"/>
    <cellStyle name="Normal 8 2 3 2 35 7" xfId="39342"/>
    <cellStyle name="Normal 8 2 3 2 36" xfId="7850"/>
    <cellStyle name="Normal 8 2 3 2 36 2" xfId="14930"/>
    <cellStyle name="Normal 8 2 3 2 36 3" xfId="20047"/>
    <cellStyle name="Normal 8 2 3 2 36 4" xfId="25090"/>
    <cellStyle name="Normal 8 2 3 2 36 5" xfId="30051"/>
    <cellStyle name="Normal 8 2 3 2 36 6" xfId="34909"/>
    <cellStyle name="Normal 8 2 3 2 36 7" xfId="39640"/>
    <cellStyle name="Normal 8 2 3 2 37" xfId="7925"/>
    <cellStyle name="Normal 8 2 3 2 37 2" xfId="15005"/>
    <cellStyle name="Normal 8 2 3 2 37 3" xfId="20122"/>
    <cellStyle name="Normal 8 2 3 2 37 4" xfId="25165"/>
    <cellStyle name="Normal 8 2 3 2 37 5" xfId="30126"/>
    <cellStyle name="Normal 8 2 3 2 37 6" xfId="34984"/>
    <cellStyle name="Normal 8 2 3 2 37 7" xfId="39715"/>
    <cellStyle name="Normal 8 2 3 2 38" xfId="7620"/>
    <cellStyle name="Normal 8 2 3 2 38 2" xfId="14700"/>
    <cellStyle name="Normal 8 2 3 2 38 3" xfId="19817"/>
    <cellStyle name="Normal 8 2 3 2 38 4" xfId="24860"/>
    <cellStyle name="Normal 8 2 3 2 38 5" xfId="29821"/>
    <cellStyle name="Normal 8 2 3 2 38 6" xfId="34679"/>
    <cellStyle name="Normal 8 2 3 2 38 7" xfId="39410"/>
    <cellStyle name="Normal 8 2 3 2 39" xfId="7980"/>
    <cellStyle name="Normal 8 2 3 2 39 2" xfId="15060"/>
    <cellStyle name="Normal 8 2 3 2 39 3" xfId="20177"/>
    <cellStyle name="Normal 8 2 3 2 39 4" xfId="25220"/>
    <cellStyle name="Normal 8 2 3 2 39 5" xfId="30181"/>
    <cellStyle name="Normal 8 2 3 2 39 6" xfId="35039"/>
    <cellStyle name="Normal 8 2 3 2 39 7" xfId="39770"/>
    <cellStyle name="Normal 8 2 3 2 4" xfId="4219"/>
    <cellStyle name="Normal 8 2 3 2 4 2" xfId="6224"/>
    <cellStyle name="Normal 8 2 3 2 4 3" xfId="18328"/>
    <cellStyle name="Normal 8 2 3 2 4 4" xfId="23371"/>
    <cellStyle name="Normal 8 2 3 2 4 5" xfId="28332"/>
    <cellStyle name="Normal 8 2 3 2 4 6" xfId="33190"/>
    <cellStyle name="Normal 8 2 3 2 4 7" xfId="37921"/>
    <cellStyle name="Normal 8 2 3 2 40" xfId="7964"/>
    <cellStyle name="Normal 8 2 3 2 40 2" xfId="15044"/>
    <cellStyle name="Normal 8 2 3 2 40 3" xfId="20161"/>
    <cellStyle name="Normal 8 2 3 2 40 4" xfId="25204"/>
    <cellStyle name="Normal 8 2 3 2 40 5" xfId="30165"/>
    <cellStyle name="Normal 8 2 3 2 40 6" xfId="35023"/>
    <cellStyle name="Normal 8 2 3 2 40 7" xfId="39754"/>
    <cellStyle name="Normal 8 2 3 2 41" xfId="7544"/>
    <cellStyle name="Normal 8 2 3 2 41 2" xfId="14622"/>
    <cellStyle name="Normal 8 2 3 2 41 3" xfId="19739"/>
    <cellStyle name="Normal 8 2 3 2 41 4" xfId="24782"/>
    <cellStyle name="Normal 8 2 3 2 41 5" xfId="29743"/>
    <cellStyle name="Normal 8 2 3 2 41 6" xfId="34601"/>
    <cellStyle name="Normal 8 2 3 2 41 7" xfId="39332"/>
    <cellStyle name="Normal 8 2 3 2 42" xfId="7508"/>
    <cellStyle name="Normal 8 2 3 2 42 2" xfId="14585"/>
    <cellStyle name="Normal 8 2 3 2 42 3" xfId="19702"/>
    <cellStyle name="Normal 8 2 3 2 42 4" xfId="24745"/>
    <cellStyle name="Normal 8 2 3 2 42 5" xfId="29706"/>
    <cellStyle name="Normal 8 2 3 2 42 6" xfId="34564"/>
    <cellStyle name="Normal 8 2 3 2 42 7" xfId="39295"/>
    <cellStyle name="Normal 8 2 3 2 43" xfId="7976"/>
    <cellStyle name="Normal 8 2 3 2 43 2" xfId="15056"/>
    <cellStyle name="Normal 8 2 3 2 43 3" xfId="20173"/>
    <cellStyle name="Normal 8 2 3 2 43 4" xfId="25216"/>
    <cellStyle name="Normal 8 2 3 2 43 5" xfId="30177"/>
    <cellStyle name="Normal 8 2 3 2 43 6" xfId="35035"/>
    <cellStyle name="Normal 8 2 3 2 43 7" xfId="39766"/>
    <cellStyle name="Normal 8 2 3 2 44" xfId="7735"/>
    <cellStyle name="Normal 8 2 3 2 44 2" xfId="14815"/>
    <cellStyle name="Normal 8 2 3 2 44 3" xfId="19932"/>
    <cellStyle name="Normal 8 2 3 2 44 4" xfId="24975"/>
    <cellStyle name="Normal 8 2 3 2 44 5" xfId="29936"/>
    <cellStyle name="Normal 8 2 3 2 44 6" xfId="34794"/>
    <cellStyle name="Normal 8 2 3 2 44 7" xfId="39525"/>
    <cellStyle name="Normal 8 2 3 2 45" xfId="7798"/>
    <cellStyle name="Normal 8 2 3 2 45 2" xfId="14878"/>
    <cellStyle name="Normal 8 2 3 2 45 3" xfId="19995"/>
    <cellStyle name="Normal 8 2 3 2 45 4" xfId="25038"/>
    <cellStyle name="Normal 8 2 3 2 45 5" xfId="29999"/>
    <cellStyle name="Normal 8 2 3 2 45 6" xfId="34857"/>
    <cellStyle name="Normal 8 2 3 2 45 7" xfId="39588"/>
    <cellStyle name="Normal 8 2 3 2 46" xfId="7581"/>
    <cellStyle name="Normal 8 2 3 2 46 2" xfId="14661"/>
    <cellStyle name="Normal 8 2 3 2 46 3" xfId="19778"/>
    <cellStyle name="Normal 8 2 3 2 46 4" xfId="24821"/>
    <cellStyle name="Normal 8 2 3 2 46 5" xfId="29782"/>
    <cellStyle name="Normal 8 2 3 2 46 6" xfId="34640"/>
    <cellStyle name="Normal 8 2 3 2 46 7" xfId="39371"/>
    <cellStyle name="Normal 8 2 3 2 47" xfId="7966"/>
    <cellStyle name="Normal 8 2 3 2 47 2" xfId="15046"/>
    <cellStyle name="Normal 8 2 3 2 47 3" xfId="20163"/>
    <cellStyle name="Normal 8 2 3 2 47 4" xfId="25206"/>
    <cellStyle name="Normal 8 2 3 2 47 5" xfId="30167"/>
    <cellStyle name="Normal 8 2 3 2 47 6" xfId="35025"/>
    <cellStyle name="Normal 8 2 3 2 47 7" xfId="39756"/>
    <cellStyle name="Normal 8 2 3 2 48" xfId="8636"/>
    <cellStyle name="Normal 8 2 3 2 48 2" xfId="15717"/>
    <cellStyle name="Normal 8 2 3 2 48 3" xfId="20834"/>
    <cellStyle name="Normal 8 2 3 2 48 4" xfId="25877"/>
    <cellStyle name="Normal 8 2 3 2 48 5" xfId="30838"/>
    <cellStyle name="Normal 8 2 3 2 48 6" xfId="35696"/>
    <cellStyle name="Normal 8 2 3 2 48 7" xfId="40427"/>
    <cellStyle name="Normal 8 2 3 2 49" xfId="8337"/>
    <cellStyle name="Normal 8 2 3 2 49 2" xfId="15418"/>
    <cellStyle name="Normal 8 2 3 2 49 3" xfId="20535"/>
    <cellStyle name="Normal 8 2 3 2 49 4" xfId="25578"/>
    <cellStyle name="Normal 8 2 3 2 49 5" xfId="30539"/>
    <cellStyle name="Normal 8 2 3 2 49 6" xfId="35397"/>
    <cellStyle name="Normal 8 2 3 2 49 7" xfId="40128"/>
    <cellStyle name="Normal 8 2 3 2 5" xfId="4419"/>
    <cellStyle name="Normal 8 2 3 2 5 2" xfId="6308"/>
    <cellStyle name="Normal 8 2 3 2 5 3" xfId="18416"/>
    <cellStyle name="Normal 8 2 3 2 5 4" xfId="23459"/>
    <cellStyle name="Normal 8 2 3 2 5 5" xfId="28420"/>
    <cellStyle name="Normal 8 2 3 2 5 6" xfId="33278"/>
    <cellStyle name="Normal 8 2 3 2 5 7" xfId="38009"/>
    <cellStyle name="Normal 8 2 3 2 50" xfId="8645"/>
    <cellStyle name="Normal 8 2 3 2 50 2" xfId="15726"/>
    <cellStyle name="Normal 8 2 3 2 50 3" xfId="20843"/>
    <cellStyle name="Normal 8 2 3 2 50 4" xfId="25886"/>
    <cellStyle name="Normal 8 2 3 2 50 5" xfId="30847"/>
    <cellStyle name="Normal 8 2 3 2 50 6" xfId="35705"/>
    <cellStyle name="Normal 8 2 3 2 50 7" xfId="40436"/>
    <cellStyle name="Normal 8 2 3 2 51" xfId="8721"/>
    <cellStyle name="Normal 8 2 3 2 51 2" xfId="15802"/>
    <cellStyle name="Normal 8 2 3 2 51 3" xfId="20919"/>
    <cellStyle name="Normal 8 2 3 2 51 4" xfId="25962"/>
    <cellStyle name="Normal 8 2 3 2 51 5" xfId="30923"/>
    <cellStyle name="Normal 8 2 3 2 51 6" xfId="35781"/>
    <cellStyle name="Normal 8 2 3 2 51 7" xfId="40512"/>
    <cellStyle name="Normal 8 2 3 2 52" xfId="8393"/>
    <cellStyle name="Normal 8 2 3 2 52 2" xfId="15474"/>
    <cellStyle name="Normal 8 2 3 2 52 3" xfId="20591"/>
    <cellStyle name="Normal 8 2 3 2 52 4" xfId="25634"/>
    <cellStyle name="Normal 8 2 3 2 52 5" xfId="30595"/>
    <cellStyle name="Normal 8 2 3 2 52 6" xfId="35453"/>
    <cellStyle name="Normal 8 2 3 2 52 7" xfId="40184"/>
    <cellStyle name="Normal 8 2 3 2 53" xfId="8778"/>
    <cellStyle name="Normal 8 2 3 2 53 2" xfId="15859"/>
    <cellStyle name="Normal 8 2 3 2 53 3" xfId="20976"/>
    <cellStyle name="Normal 8 2 3 2 53 4" xfId="26019"/>
    <cellStyle name="Normal 8 2 3 2 53 5" xfId="30980"/>
    <cellStyle name="Normal 8 2 3 2 53 6" xfId="35838"/>
    <cellStyle name="Normal 8 2 3 2 53 7" xfId="40569"/>
    <cellStyle name="Normal 8 2 3 2 54" xfId="8763"/>
    <cellStyle name="Normal 8 2 3 2 54 2" xfId="15844"/>
    <cellStyle name="Normal 8 2 3 2 54 3" xfId="20961"/>
    <cellStyle name="Normal 8 2 3 2 54 4" xfId="26004"/>
    <cellStyle name="Normal 8 2 3 2 54 5" xfId="30965"/>
    <cellStyle name="Normal 8 2 3 2 54 6" xfId="35823"/>
    <cellStyle name="Normal 8 2 3 2 54 7" xfId="40554"/>
    <cellStyle name="Normal 8 2 3 2 55" xfId="8737"/>
    <cellStyle name="Normal 8 2 3 2 55 2" xfId="15818"/>
    <cellStyle name="Normal 8 2 3 2 55 3" xfId="20935"/>
    <cellStyle name="Normal 8 2 3 2 55 4" xfId="25978"/>
    <cellStyle name="Normal 8 2 3 2 55 5" xfId="30939"/>
    <cellStyle name="Normal 8 2 3 2 55 6" xfId="35797"/>
    <cellStyle name="Normal 8 2 3 2 55 7" xfId="40528"/>
    <cellStyle name="Normal 8 2 3 2 56" xfId="8551"/>
    <cellStyle name="Normal 8 2 3 2 56 2" xfId="15632"/>
    <cellStyle name="Normal 8 2 3 2 56 3" xfId="20749"/>
    <cellStyle name="Normal 8 2 3 2 56 4" xfId="25792"/>
    <cellStyle name="Normal 8 2 3 2 56 5" xfId="30753"/>
    <cellStyle name="Normal 8 2 3 2 56 6" xfId="35611"/>
    <cellStyle name="Normal 8 2 3 2 56 7" xfId="40342"/>
    <cellStyle name="Normal 8 2 3 2 57" xfId="8768"/>
    <cellStyle name="Normal 8 2 3 2 57 2" xfId="15849"/>
    <cellStyle name="Normal 8 2 3 2 57 3" xfId="20966"/>
    <cellStyle name="Normal 8 2 3 2 57 4" xfId="26009"/>
    <cellStyle name="Normal 8 2 3 2 57 5" xfId="30970"/>
    <cellStyle name="Normal 8 2 3 2 57 6" xfId="35828"/>
    <cellStyle name="Normal 8 2 3 2 57 7" xfId="40559"/>
    <cellStyle name="Normal 8 2 3 2 58" xfId="8528"/>
    <cellStyle name="Normal 8 2 3 2 58 2" xfId="15609"/>
    <cellStyle name="Normal 8 2 3 2 58 3" xfId="20726"/>
    <cellStyle name="Normal 8 2 3 2 58 4" xfId="25769"/>
    <cellStyle name="Normal 8 2 3 2 58 5" xfId="30730"/>
    <cellStyle name="Normal 8 2 3 2 58 6" xfId="35588"/>
    <cellStyle name="Normal 8 2 3 2 58 7" xfId="40319"/>
    <cellStyle name="Normal 8 2 3 2 59" xfId="8332"/>
    <cellStyle name="Normal 8 2 3 2 59 2" xfId="15413"/>
    <cellStyle name="Normal 8 2 3 2 59 3" xfId="20530"/>
    <cellStyle name="Normal 8 2 3 2 59 4" xfId="25573"/>
    <cellStyle name="Normal 8 2 3 2 59 5" xfId="30534"/>
    <cellStyle name="Normal 8 2 3 2 59 6" xfId="35392"/>
    <cellStyle name="Normal 8 2 3 2 59 7" xfId="40123"/>
    <cellStyle name="Normal 8 2 3 2 6" xfId="4475"/>
    <cellStyle name="Normal 8 2 3 2 6 2" xfId="5967"/>
    <cellStyle name="Normal 8 2 3 2 6 3" xfId="18069"/>
    <cellStyle name="Normal 8 2 3 2 6 4" xfId="23112"/>
    <cellStyle name="Normal 8 2 3 2 6 5" xfId="28073"/>
    <cellStyle name="Normal 8 2 3 2 6 6" xfId="32931"/>
    <cellStyle name="Normal 8 2 3 2 6 7" xfId="37662"/>
    <cellStyle name="Normal 8 2 3 2 60" xfId="8253"/>
    <cellStyle name="Normal 8 2 3 2 60 2" xfId="15334"/>
    <cellStyle name="Normal 8 2 3 2 60 3" xfId="20451"/>
    <cellStyle name="Normal 8 2 3 2 60 4" xfId="25494"/>
    <cellStyle name="Normal 8 2 3 2 60 5" xfId="30455"/>
    <cellStyle name="Normal 8 2 3 2 60 6" xfId="35313"/>
    <cellStyle name="Normal 8 2 3 2 60 7" xfId="40044"/>
    <cellStyle name="Normal 8 2 3 2 61" xfId="8767"/>
    <cellStyle name="Normal 8 2 3 2 61 2" xfId="15848"/>
    <cellStyle name="Normal 8 2 3 2 61 3" xfId="20965"/>
    <cellStyle name="Normal 8 2 3 2 61 4" xfId="26008"/>
    <cellStyle name="Normal 8 2 3 2 61 5" xfId="30969"/>
    <cellStyle name="Normal 8 2 3 2 61 6" xfId="35827"/>
    <cellStyle name="Normal 8 2 3 2 61 7" xfId="40558"/>
    <cellStyle name="Normal 8 2 3 2 62" xfId="8282"/>
    <cellStyle name="Normal 8 2 3 2 62 2" xfId="15363"/>
    <cellStyle name="Normal 8 2 3 2 62 3" xfId="20480"/>
    <cellStyle name="Normal 8 2 3 2 62 4" xfId="25523"/>
    <cellStyle name="Normal 8 2 3 2 62 5" xfId="30484"/>
    <cellStyle name="Normal 8 2 3 2 62 6" xfId="35342"/>
    <cellStyle name="Normal 8 2 3 2 62 7" xfId="40073"/>
    <cellStyle name="Normal 8 2 3 2 63" xfId="9396"/>
    <cellStyle name="Normal 8 2 3 2 63 2" xfId="16477"/>
    <cellStyle name="Normal 8 2 3 2 63 3" xfId="21594"/>
    <cellStyle name="Normal 8 2 3 2 63 4" xfId="26637"/>
    <cellStyle name="Normal 8 2 3 2 63 5" xfId="31598"/>
    <cellStyle name="Normal 8 2 3 2 63 6" xfId="36456"/>
    <cellStyle name="Normal 8 2 3 2 63 7" xfId="41187"/>
    <cellStyle name="Normal 8 2 3 2 64" xfId="9139"/>
    <cellStyle name="Normal 8 2 3 2 64 2" xfId="16220"/>
    <cellStyle name="Normal 8 2 3 2 64 3" xfId="21337"/>
    <cellStyle name="Normal 8 2 3 2 64 4" xfId="26380"/>
    <cellStyle name="Normal 8 2 3 2 64 5" xfId="31341"/>
    <cellStyle name="Normal 8 2 3 2 64 6" xfId="36199"/>
    <cellStyle name="Normal 8 2 3 2 64 7" xfId="40930"/>
    <cellStyle name="Normal 8 2 3 2 65" xfId="9404"/>
    <cellStyle name="Normal 8 2 3 2 65 2" xfId="16485"/>
    <cellStyle name="Normal 8 2 3 2 65 3" xfId="21602"/>
    <cellStyle name="Normal 8 2 3 2 65 4" xfId="26645"/>
    <cellStyle name="Normal 8 2 3 2 65 5" xfId="31606"/>
    <cellStyle name="Normal 8 2 3 2 65 6" xfId="36464"/>
    <cellStyle name="Normal 8 2 3 2 65 7" xfId="41195"/>
    <cellStyle name="Normal 8 2 3 2 66" xfId="9467"/>
    <cellStyle name="Normal 8 2 3 2 66 2" xfId="16548"/>
    <cellStyle name="Normal 8 2 3 2 66 3" xfId="21665"/>
    <cellStyle name="Normal 8 2 3 2 66 4" xfId="26708"/>
    <cellStyle name="Normal 8 2 3 2 66 5" xfId="31669"/>
    <cellStyle name="Normal 8 2 3 2 66 6" xfId="36527"/>
    <cellStyle name="Normal 8 2 3 2 66 7" xfId="41258"/>
    <cellStyle name="Normal 8 2 3 2 67" xfId="9195"/>
    <cellStyle name="Normal 8 2 3 2 67 2" xfId="16276"/>
    <cellStyle name="Normal 8 2 3 2 67 3" xfId="21393"/>
    <cellStyle name="Normal 8 2 3 2 67 4" xfId="26436"/>
    <cellStyle name="Normal 8 2 3 2 67 5" xfId="31397"/>
    <cellStyle name="Normal 8 2 3 2 67 6" xfId="36255"/>
    <cellStyle name="Normal 8 2 3 2 67 7" xfId="40986"/>
    <cellStyle name="Normal 8 2 3 2 68" xfId="9510"/>
    <cellStyle name="Normal 8 2 3 2 68 2" xfId="16591"/>
    <cellStyle name="Normal 8 2 3 2 68 3" xfId="21708"/>
    <cellStyle name="Normal 8 2 3 2 68 4" xfId="26751"/>
    <cellStyle name="Normal 8 2 3 2 68 5" xfId="31712"/>
    <cellStyle name="Normal 8 2 3 2 68 6" xfId="36570"/>
    <cellStyle name="Normal 8 2 3 2 68 7" xfId="41301"/>
    <cellStyle name="Normal 8 2 3 2 69" xfId="9499"/>
    <cellStyle name="Normal 8 2 3 2 69 2" xfId="16580"/>
    <cellStyle name="Normal 8 2 3 2 69 3" xfId="21697"/>
    <cellStyle name="Normal 8 2 3 2 69 4" xfId="26740"/>
    <cellStyle name="Normal 8 2 3 2 69 5" xfId="31701"/>
    <cellStyle name="Normal 8 2 3 2 69 6" xfId="36559"/>
    <cellStyle name="Normal 8 2 3 2 69 7" xfId="41290"/>
    <cellStyle name="Normal 8 2 3 2 7" xfId="4584"/>
    <cellStyle name="Normal 8 2 3 2 7 2" xfId="6369"/>
    <cellStyle name="Normal 8 2 3 2 7 3" xfId="18478"/>
    <cellStyle name="Normal 8 2 3 2 7 4" xfId="23521"/>
    <cellStyle name="Normal 8 2 3 2 7 5" xfId="28482"/>
    <cellStyle name="Normal 8 2 3 2 7 6" xfId="33340"/>
    <cellStyle name="Normal 8 2 3 2 7 7" xfId="38071"/>
    <cellStyle name="Normal 8 2 3 2 70" xfId="9130"/>
    <cellStyle name="Normal 8 2 3 2 70 2" xfId="16211"/>
    <cellStyle name="Normal 8 2 3 2 70 3" xfId="21328"/>
    <cellStyle name="Normal 8 2 3 2 70 4" xfId="26371"/>
    <cellStyle name="Normal 8 2 3 2 70 5" xfId="31332"/>
    <cellStyle name="Normal 8 2 3 2 70 6" xfId="36190"/>
    <cellStyle name="Normal 8 2 3 2 70 7" xfId="40921"/>
    <cellStyle name="Normal 8 2 3 2 71" xfId="9100"/>
    <cellStyle name="Normal 8 2 3 2 71 2" xfId="16181"/>
    <cellStyle name="Normal 8 2 3 2 71 3" xfId="21298"/>
    <cellStyle name="Normal 8 2 3 2 71 4" xfId="26341"/>
    <cellStyle name="Normal 8 2 3 2 71 5" xfId="31302"/>
    <cellStyle name="Normal 8 2 3 2 71 6" xfId="36160"/>
    <cellStyle name="Normal 8 2 3 2 71 7" xfId="40891"/>
    <cellStyle name="Normal 8 2 3 2 72" xfId="9507"/>
    <cellStyle name="Normal 8 2 3 2 72 2" xfId="16588"/>
    <cellStyle name="Normal 8 2 3 2 72 3" xfId="21705"/>
    <cellStyle name="Normal 8 2 3 2 72 4" xfId="26748"/>
    <cellStyle name="Normal 8 2 3 2 72 5" xfId="31709"/>
    <cellStyle name="Normal 8 2 3 2 72 6" xfId="36567"/>
    <cellStyle name="Normal 8 2 3 2 72 7" xfId="41298"/>
    <cellStyle name="Normal 8 2 3 2 73" xfId="9298"/>
    <cellStyle name="Normal 8 2 3 2 73 2" xfId="16379"/>
    <cellStyle name="Normal 8 2 3 2 73 3" xfId="21496"/>
    <cellStyle name="Normal 8 2 3 2 73 4" xfId="26539"/>
    <cellStyle name="Normal 8 2 3 2 73 5" xfId="31500"/>
    <cellStyle name="Normal 8 2 3 2 73 6" xfId="36358"/>
    <cellStyle name="Normal 8 2 3 2 73 7" xfId="41089"/>
    <cellStyle name="Normal 8 2 3 2 74" xfId="9355"/>
    <cellStyle name="Normal 8 2 3 2 74 2" xfId="16436"/>
    <cellStyle name="Normal 8 2 3 2 74 3" xfId="21553"/>
    <cellStyle name="Normal 8 2 3 2 74 4" xfId="26596"/>
    <cellStyle name="Normal 8 2 3 2 74 5" xfId="31557"/>
    <cellStyle name="Normal 8 2 3 2 74 6" xfId="36415"/>
    <cellStyle name="Normal 8 2 3 2 74 7" xfId="41146"/>
    <cellStyle name="Normal 8 2 3 2 75" xfId="9891"/>
    <cellStyle name="Normal 8 2 3 2 75 2" xfId="16972"/>
    <cellStyle name="Normal 8 2 3 2 75 3" xfId="22089"/>
    <cellStyle name="Normal 8 2 3 2 75 4" xfId="27132"/>
    <cellStyle name="Normal 8 2 3 2 75 5" xfId="32093"/>
    <cellStyle name="Normal 8 2 3 2 75 6" xfId="36951"/>
    <cellStyle name="Normal 8 2 3 2 75 7" xfId="41682"/>
    <cellStyle name="Normal 8 2 3 2 76" xfId="9760"/>
    <cellStyle name="Normal 8 2 3 2 76 2" xfId="16841"/>
    <cellStyle name="Normal 8 2 3 2 76 3" xfId="21958"/>
    <cellStyle name="Normal 8 2 3 2 76 4" xfId="27001"/>
    <cellStyle name="Normal 8 2 3 2 76 5" xfId="31962"/>
    <cellStyle name="Normal 8 2 3 2 76 6" xfId="36820"/>
    <cellStyle name="Normal 8 2 3 2 76 7" xfId="41551"/>
    <cellStyle name="Normal 8 2 3 2 77" xfId="9899"/>
    <cellStyle name="Normal 8 2 3 2 77 2" xfId="16980"/>
    <cellStyle name="Normal 8 2 3 2 77 3" xfId="22097"/>
    <cellStyle name="Normal 8 2 3 2 77 4" xfId="27140"/>
    <cellStyle name="Normal 8 2 3 2 77 5" xfId="32101"/>
    <cellStyle name="Normal 8 2 3 2 77 6" xfId="36959"/>
    <cellStyle name="Normal 8 2 3 2 77 7" xfId="41690"/>
    <cellStyle name="Normal 8 2 3 2 78" xfId="9932"/>
    <cellStyle name="Normal 8 2 3 2 78 2" xfId="17013"/>
    <cellStyle name="Normal 8 2 3 2 78 3" xfId="22130"/>
    <cellStyle name="Normal 8 2 3 2 78 4" xfId="27173"/>
    <cellStyle name="Normal 8 2 3 2 78 5" xfId="32134"/>
    <cellStyle name="Normal 8 2 3 2 78 6" xfId="36992"/>
    <cellStyle name="Normal 8 2 3 2 78 7" xfId="41723"/>
    <cellStyle name="Normal 8 2 3 2 79" xfId="9781"/>
    <cellStyle name="Normal 8 2 3 2 79 2" xfId="16862"/>
    <cellStyle name="Normal 8 2 3 2 79 3" xfId="21979"/>
    <cellStyle name="Normal 8 2 3 2 79 4" xfId="27022"/>
    <cellStyle name="Normal 8 2 3 2 79 5" xfId="31983"/>
    <cellStyle name="Normal 8 2 3 2 79 6" xfId="36841"/>
    <cellStyle name="Normal 8 2 3 2 79 7" xfId="41572"/>
    <cellStyle name="Normal 8 2 3 2 8" xfId="4512"/>
    <cellStyle name="Normal 8 2 3 2 8 2" xfId="6354"/>
    <cellStyle name="Normal 8 2 3 2 8 3" xfId="18462"/>
    <cellStyle name="Normal 8 2 3 2 8 4" xfId="23505"/>
    <cellStyle name="Normal 8 2 3 2 8 5" xfId="28466"/>
    <cellStyle name="Normal 8 2 3 2 8 6" xfId="33324"/>
    <cellStyle name="Normal 8 2 3 2 8 7" xfId="38055"/>
    <cellStyle name="Normal 8 2 3 2 80" xfId="9955"/>
    <cellStyle name="Normal 8 2 3 2 80 2" xfId="17036"/>
    <cellStyle name="Normal 8 2 3 2 80 3" xfId="22153"/>
    <cellStyle name="Normal 8 2 3 2 80 4" xfId="27196"/>
    <cellStyle name="Normal 8 2 3 2 80 5" xfId="32157"/>
    <cellStyle name="Normal 8 2 3 2 80 6" xfId="37015"/>
    <cellStyle name="Normal 8 2 3 2 80 7" xfId="41746"/>
    <cellStyle name="Normal 8 2 3 2 81" xfId="10221"/>
    <cellStyle name="Normal 8 2 3 2 81 2" xfId="17302"/>
    <cellStyle name="Normal 8 2 3 2 81 3" xfId="22419"/>
    <cellStyle name="Normal 8 2 3 2 81 4" xfId="27462"/>
    <cellStyle name="Normal 8 2 3 2 81 5" xfId="32423"/>
    <cellStyle name="Normal 8 2 3 2 81 6" xfId="37281"/>
    <cellStyle name="Normal 8 2 3 2 81 7" xfId="42012"/>
    <cellStyle name="Normal 8 2 3 2 82" xfId="10090"/>
    <cellStyle name="Normal 8 2 3 2 82 2" xfId="17171"/>
    <cellStyle name="Normal 8 2 3 2 82 3" xfId="22288"/>
    <cellStyle name="Normal 8 2 3 2 82 4" xfId="27331"/>
    <cellStyle name="Normal 8 2 3 2 82 5" xfId="32292"/>
    <cellStyle name="Normal 8 2 3 2 82 6" xfId="37150"/>
    <cellStyle name="Normal 8 2 3 2 82 7" xfId="41881"/>
    <cellStyle name="Normal 8 2 3 2 83" xfId="10229"/>
    <cellStyle name="Normal 8 2 3 2 83 2" xfId="17310"/>
    <cellStyle name="Normal 8 2 3 2 83 3" xfId="22427"/>
    <cellStyle name="Normal 8 2 3 2 83 4" xfId="27470"/>
    <cellStyle name="Normal 8 2 3 2 83 5" xfId="32431"/>
    <cellStyle name="Normal 8 2 3 2 83 6" xfId="37289"/>
    <cellStyle name="Normal 8 2 3 2 83 7" xfId="42020"/>
    <cellStyle name="Normal 8 2 3 2 84" xfId="10262"/>
    <cellStyle name="Normal 8 2 3 2 84 2" xfId="17343"/>
    <cellStyle name="Normal 8 2 3 2 84 3" xfId="22460"/>
    <cellStyle name="Normal 8 2 3 2 84 4" xfId="27503"/>
    <cellStyle name="Normal 8 2 3 2 84 5" xfId="32464"/>
    <cellStyle name="Normal 8 2 3 2 84 6" xfId="37322"/>
    <cellStyle name="Normal 8 2 3 2 84 7" xfId="42053"/>
    <cellStyle name="Normal 8 2 3 2 85" xfId="10111"/>
    <cellStyle name="Normal 8 2 3 2 85 2" xfId="17192"/>
    <cellStyle name="Normal 8 2 3 2 85 3" xfId="22309"/>
    <cellStyle name="Normal 8 2 3 2 85 4" xfId="27352"/>
    <cellStyle name="Normal 8 2 3 2 85 5" xfId="32313"/>
    <cellStyle name="Normal 8 2 3 2 85 6" xfId="37171"/>
    <cellStyle name="Normal 8 2 3 2 85 7" xfId="41902"/>
    <cellStyle name="Normal 8 2 3 2 86" xfId="10285"/>
    <cellStyle name="Normal 8 2 3 2 86 2" xfId="17366"/>
    <cellStyle name="Normal 8 2 3 2 86 3" xfId="22483"/>
    <cellStyle name="Normal 8 2 3 2 86 4" xfId="27526"/>
    <cellStyle name="Normal 8 2 3 2 86 5" xfId="32487"/>
    <cellStyle name="Normal 8 2 3 2 86 6" xfId="37345"/>
    <cellStyle name="Normal 8 2 3 2 86 7" xfId="42076"/>
    <cellStyle name="Normal 8 2 3 2 87" xfId="13051"/>
    <cellStyle name="Normal 8 2 3 2 88" xfId="12056"/>
    <cellStyle name="Normal 8 2 3 2 89" xfId="13073"/>
    <cellStyle name="Normal 8 2 3 2 9" xfId="4501"/>
    <cellStyle name="Normal 8 2 3 2 9 2" xfId="5885"/>
    <cellStyle name="Normal 8 2 3 2 9 3" xfId="17985"/>
    <cellStyle name="Normal 8 2 3 2 9 4" xfId="23028"/>
    <cellStyle name="Normal 8 2 3 2 9 5" xfId="27989"/>
    <cellStyle name="Normal 8 2 3 2 9 6" xfId="32847"/>
    <cellStyle name="Normal 8 2 3 2 9 7" xfId="37578"/>
    <cellStyle name="Normal 8 2 3 2 90" xfId="13548"/>
    <cellStyle name="Normal 8 2 3 2 91" xfId="12761"/>
    <cellStyle name="Normal 8 2 3 2 92" xfId="12067"/>
    <cellStyle name="Normal 8 2 3 3" xfId="12474"/>
    <cellStyle name="Normal 8 2 3 4" xfId="11973"/>
    <cellStyle name="Normal 8 2 3 5" xfId="13333"/>
    <cellStyle name="Normal 8 2 3 6" xfId="12811"/>
    <cellStyle name="Normal 8 2 3 7" xfId="12859"/>
    <cellStyle name="Normal 8 2 3 8" xfId="13173"/>
    <cellStyle name="Normal 8 2 30" xfId="5754"/>
    <cellStyle name="Normal 8 2 30 2" xfId="14247"/>
    <cellStyle name="Normal 8 2 30 3" xfId="19061"/>
    <cellStyle name="Normal 8 2 30 4" xfId="24104"/>
    <cellStyle name="Normal 8 2 30 5" xfId="29065"/>
    <cellStyle name="Normal 8 2 30 6" xfId="33923"/>
    <cellStyle name="Normal 8 2 30 7" xfId="38654"/>
    <cellStyle name="Normal 8 2 31" xfId="7191"/>
    <cellStyle name="Normal 8 2 31 2" xfId="14384"/>
    <cellStyle name="Normal 8 2 31 3" xfId="19346"/>
    <cellStyle name="Normal 8 2 31 4" xfId="24389"/>
    <cellStyle name="Normal 8 2 31 5" xfId="29350"/>
    <cellStyle name="Normal 8 2 31 6" xfId="34208"/>
    <cellStyle name="Normal 8 2 31 7" xfId="38939"/>
    <cellStyle name="Normal 8 2 32" xfId="7062"/>
    <cellStyle name="Normal 8 2 32 2" xfId="14326"/>
    <cellStyle name="Normal 8 2 32 3" xfId="19206"/>
    <cellStyle name="Normal 8 2 32 4" xfId="24249"/>
    <cellStyle name="Normal 8 2 32 5" xfId="29210"/>
    <cellStyle name="Normal 8 2 32 6" xfId="34068"/>
    <cellStyle name="Normal 8 2 32 7" xfId="38799"/>
    <cellStyle name="Normal 8 2 33" xfId="7129"/>
    <cellStyle name="Normal 8 2 33 2" xfId="14361"/>
    <cellStyle name="Normal 8 2 33 3" xfId="19278"/>
    <cellStyle name="Normal 8 2 33 4" xfId="24321"/>
    <cellStyle name="Normal 8 2 33 5" xfId="29282"/>
    <cellStyle name="Normal 8 2 33 6" xfId="34140"/>
    <cellStyle name="Normal 8 2 33 7" xfId="38871"/>
    <cellStyle name="Normal 8 2 34" xfId="6973"/>
    <cellStyle name="Normal 8 2 34 2" xfId="14273"/>
    <cellStyle name="Normal 8 2 34 3" xfId="19105"/>
    <cellStyle name="Normal 8 2 34 4" xfId="24148"/>
    <cellStyle name="Normal 8 2 34 5" xfId="29109"/>
    <cellStyle name="Normal 8 2 34 6" xfId="33967"/>
    <cellStyle name="Normal 8 2 34 7" xfId="38698"/>
    <cellStyle name="Normal 8 2 35" xfId="7264"/>
    <cellStyle name="Normal 8 2 35 2" xfId="14418"/>
    <cellStyle name="Normal 8 2 35 3" xfId="19428"/>
    <cellStyle name="Normal 8 2 35 4" xfId="24471"/>
    <cellStyle name="Normal 8 2 35 5" xfId="29432"/>
    <cellStyle name="Normal 8 2 35 6" xfId="34290"/>
    <cellStyle name="Normal 8 2 35 7" xfId="39021"/>
    <cellStyle name="Normal 8 2 36" xfId="7646"/>
    <cellStyle name="Normal 8 2 36 2" xfId="14726"/>
    <cellStyle name="Normal 8 2 36 3" xfId="19843"/>
    <cellStyle name="Normal 8 2 36 4" xfId="24886"/>
    <cellStyle name="Normal 8 2 36 5" xfId="29847"/>
    <cellStyle name="Normal 8 2 36 6" xfId="34705"/>
    <cellStyle name="Normal 8 2 36 7" xfId="39436"/>
    <cellStyle name="Normal 8 2 37" xfId="8015"/>
    <cellStyle name="Normal 8 2 37 2" xfId="15095"/>
    <cellStyle name="Normal 8 2 37 3" xfId="20212"/>
    <cellStyle name="Normal 8 2 37 4" xfId="25255"/>
    <cellStyle name="Normal 8 2 37 5" xfId="30216"/>
    <cellStyle name="Normal 8 2 37 6" xfId="35074"/>
    <cellStyle name="Normal 8 2 37 7" xfId="39805"/>
    <cellStyle name="Normal 8 2 38" xfId="7550"/>
    <cellStyle name="Normal 8 2 38 2" xfId="14628"/>
    <cellStyle name="Normal 8 2 38 3" xfId="19745"/>
    <cellStyle name="Normal 8 2 38 4" xfId="24788"/>
    <cellStyle name="Normal 8 2 38 5" xfId="29749"/>
    <cellStyle name="Normal 8 2 38 6" xfId="34607"/>
    <cellStyle name="Normal 8 2 38 7" xfId="39338"/>
    <cellStyle name="Normal 8 2 39" xfId="7513"/>
    <cellStyle name="Normal 8 2 39 2" xfId="14591"/>
    <cellStyle name="Normal 8 2 39 3" xfId="19708"/>
    <cellStyle name="Normal 8 2 39 4" xfId="24751"/>
    <cellStyle name="Normal 8 2 39 5" xfId="29712"/>
    <cellStyle name="Normal 8 2 39 6" xfId="34570"/>
    <cellStyle name="Normal 8 2 39 7" xfId="39301"/>
    <cellStyle name="Normal 8 2 4" xfId="4244"/>
    <cellStyle name="Normal 8 2 4 2" xfId="5998"/>
    <cellStyle name="Normal 8 2 4 3" xfId="18101"/>
    <cellStyle name="Normal 8 2 4 4" xfId="23144"/>
    <cellStyle name="Normal 8 2 4 5" xfId="28105"/>
    <cellStyle name="Normal 8 2 4 6" xfId="32963"/>
    <cellStyle name="Normal 8 2 4 7" xfId="37694"/>
    <cellStyle name="Normal 8 2 40" xfId="7641"/>
    <cellStyle name="Normal 8 2 40 2" xfId="14721"/>
    <cellStyle name="Normal 8 2 40 3" xfId="19838"/>
    <cellStyle name="Normal 8 2 40 4" xfId="24881"/>
    <cellStyle name="Normal 8 2 40 5" xfId="29842"/>
    <cellStyle name="Normal 8 2 40 6" xfId="34700"/>
    <cellStyle name="Normal 8 2 40 7" xfId="39431"/>
    <cellStyle name="Normal 8 2 41" xfId="7562"/>
    <cellStyle name="Normal 8 2 41 2" xfId="14642"/>
    <cellStyle name="Normal 8 2 41 3" xfId="19759"/>
    <cellStyle name="Normal 8 2 41 4" xfId="24802"/>
    <cellStyle name="Normal 8 2 41 5" xfId="29763"/>
    <cellStyle name="Normal 8 2 41 6" xfId="34621"/>
    <cellStyle name="Normal 8 2 41 7" xfId="39352"/>
    <cellStyle name="Normal 8 2 42" xfId="7535"/>
    <cellStyle name="Normal 8 2 42 2" xfId="14613"/>
    <cellStyle name="Normal 8 2 42 3" xfId="19730"/>
    <cellStyle name="Normal 8 2 42 4" xfId="24773"/>
    <cellStyle name="Normal 8 2 42 5" xfId="29734"/>
    <cellStyle name="Normal 8 2 42 6" xfId="34592"/>
    <cellStyle name="Normal 8 2 42 7" xfId="39323"/>
    <cellStyle name="Normal 8 2 43" xfId="7852"/>
    <cellStyle name="Normal 8 2 43 2" xfId="14932"/>
    <cellStyle name="Normal 8 2 43 3" xfId="20049"/>
    <cellStyle name="Normal 8 2 43 4" xfId="25092"/>
    <cellStyle name="Normal 8 2 43 5" xfId="30053"/>
    <cellStyle name="Normal 8 2 43 6" xfId="34911"/>
    <cellStyle name="Normal 8 2 43 7" xfId="39642"/>
    <cellStyle name="Normal 8 2 44" xfId="7702"/>
    <cellStyle name="Normal 8 2 44 2" xfId="14782"/>
    <cellStyle name="Normal 8 2 44 3" xfId="19899"/>
    <cellStyle name="Normal 8 2 44 4" xfId="24942"/>
    <cellStyle name="Normal 8 2 44 5" xfId="29903"/>
    <cellStyle name="Normal 8 2 44 6" xfId="34761"/>
    <cellStyle name="Normal 8 2 44 7" xfId="39492"/>
    <cellStyle name="Normal 8 2 45" xfId="7780"/>
    <cellStyle name="Normal 8 2 45 2" xfId="14860"/>
    <cellStyle name="Normal 8 2 45 3" xfId="19977"/>
    <cellStyle name="Normal 8 2 45 4" xfId="25020"/>
    <cellStyle name="Normal 8 2 45 5" xfId="29981"/>
    <cellStyle name="Normal 8 2 45 6" xfId="34839"/>
    <cellStyle name="Normal 8 2 45 7" xfId="39570"/>
    <cellStyle name="Normal 8 2 46" xfId="7585"/>
    <cellStyle name="Normal 8 2 46 2" xfId="14665"/>
    <cellStyle name="Normal 8 2 46 3" xfId="19782"/>
    <cellStyle name="Normal 8 2 46 4" xfId="24825"/>
    <cellStyle name="Normal 8 2 46 5" xfId="29786"/>
    <cellStyle name="Normal 8 2 46 6" xfId="34644"/>
    <cellStyle name="Normal 8 2 46 7" xfId="39375"/>
    <cellStyle name="Normal 8 2 47" xfId="7950"/>
    <cellStyle name="Normal 8 2 47 2" xfId="15030"/>
    <cellStyle name="Normal 8 2 47 3" xfId="20147"/>
    <cellStyle name="Normal 8 2 47 4" xfId="25190"/>
    <cellStyle name="Normal 8 2 47 5" xfId="30151"/>
    <cellStyle name="Normal 8 2 47 6" xfId="35009"/>
    <cellStyle name="Normal 8 2 47 7" xfId="39740"/>
    <cellStyle name="Normal 8 2 48" xfId="8068"/>
    <cellStyle name="Normal 8 2 48 2" xfId="15148"/>
    <cellStyle name="Normal 8 2 48 3" xfId="20265"/>
    <cellStyle name="Normal 8 2 48 4" xfId="25308"/>
    <cellStyle name="Normal 8 2 48 5" xfId="30269"/>
    <cellStyle name="Normal 8 2 48 6" xfId="35127"/>
    <cellStyle name="Normal 8 2 48 7" xfId="39858"/>
    <cellStyle name="Normal 8 2 49" xfId="7569"/>
    <cellStyle name="Normal 8 2 49 2" xfId="14649"/>
    <cellStyle name="Normal 8 2 49 3" xfId="19766"/>
    <cellStyle name="Normal 8 2 49 4" xfId="24809"/>
    <cellStyle name="Normal 8 2 49 5" xfId="29770"/>
    <cellStyle name="Normal 8 2 49 6" xfId="34628"/>
    <cellStyle name="Normal 8 2 49 7" xfId="39359"/>
    <cellStyle name="Normal 8 2 5" xfId="4273"/>
    <cellStyle name="Normal 8 2 5 2" xfId="6406"/>
    <cellStyle name="Normal 8 2 5 3" xfId="18516"/>
    <cellStyle name="Normal 8 2 5 4" xfId="23559"/>
    <cellStyle name="Normal 8 2 5 5" xfId="28520"/>
    <cellStyle name="Normal 8 2 5 6" xfId="33378"/>
    <cellStyle name="Normal 8 2 5 7" xfId="38109"/>
    <cellStyle name="Normal 8 2 50" xfId="8418"/>
    <cellStyle name="Normal 8 2 50 2" xfId="15499"/>
    <cellStyle name="Normal 8 2 50 3" xfId="20616"/>
    <cellStyle name="Normal 8 2 50 4" xfId="25659"/>
    <cellStyle name="Normal 8 2 50 5" xfId="30620"/>
    <cellStyle name="Normal 8 2 50 6" xfId="35478"/>
    <cellStyle name="Normal 8 2 50 7" xfId="40209"/>
    <cellStyle name="Normal 8 2 51" xfId="8817"/>
    <cellStyle name="Normal 8 2 51 2" xfId="15898"/>
    <cellStyle name="Normal 8 2 51 3" xfId="21015"/>
    <cellStyle name="Normal 8 2 51 4" xfId="26058"/>
    <cellStyle name="Normal 8 2 51 5" xfId="31019"/>
    <cellStyle name="Normal 8 2 51 6" xfId="35877"/>
    <cellStyle name="Normal 8 2 51 7" xfId="40608"/>
    <cellStyle name="Normal 8 2 52" xfId="8330"/>
    <cellStyle name="Normal 8 2 52 2" xfId="15411"/>
    <cellStyle name="Normal 8 2 52 3" xfId="20528"/>
    <cellStyle name="Normal 8 2 52 4" xfId="25571"/>
    <cellStyle name="Normal 8 2 52 5" xfId="30532"/>
    <cellStyle name="Normal 8 2 52 6" xfId="35390"/>
    <cellStyle name="Normal 8 2 52 7" xfId="40121"/>
    <cellStyle name="Normal 8 2 53" xfId="8294"/>
    <cellStyle name="Normal 8 2 53 2" xfId="15375"/>
    <cellStyle name="Normal 8 2 53 3" xfId="20492"/>
    <cellStyle name="Normal 8 2 53 4" xfId="25535"/>
    <cellStyle name="Normal 8 2 53 5" xfId="30496"/>
    <cellStyle name="Normal 8 2 53 6" xfId="35354"/>
    <cellStyle name="Normal 8 2 53 7" xfId="40085"/>
    <cellStyle name="Normal 8 2 54" xfId="8414"/>
    <cellStyle name="Normal 8 2 54 2" xfId="15495"/>
    <cellStyle name="Normal 8 2 54 3" xfId="20612"/>
    <cellStyle name="Normal 8 2 54 4" xfId="25655"/>
    <cellStyle name="Normal 8 2 54 5" xfId="30616"/>
    <cellStyle name="Normal 8 2 54 6" xfId="35474"/>
    <cellStyle name="Normal 8 2 54 7" xfId="40205"/>
    <cellStyle name="Normal 8 2 55" xfId="8345"/>
    <cellStyle name="Normal 8 2 55 2" xfId="15426"/>
    <cellStyle name="Normal 8 2 55 3" xfId="20543"/>
    <cellStyle name="Normal 8 2 55 4" xfId="25586"/>
    <cellStyle name="Normal 8 2 55 5" xfId="30547"/>
    <cellStyle name="Normal 8 2 55 6" xfId="35405"/>
    <cellStyle name="Normal 8 2 55 7" xfId="40136"/>
    <cellStyle name="Normal 8 2 56" xfId="8316"/>
    <cellStyle name="Normal 8 2 56 2" xfId="15397"/>
    <cellStyle name="Normal 8 2 56 3" xfId="20514"/>
    <cellStyle name="Normal 8 2 56 4" xfId="25557"/>
    <cellStyle name="Normal 8 2 56 5" xfId="30518"/>
    <cellStyle name="Normal 8 2 56 6" xfId="35376"/>
    <cellStyle name="Normal 8 2 56 7" xfId="40107"/>
    <cellStyle name="Normal 8 2 57" xfId="8375"/>
    <cellStyle name="Normal 8 2 57 2" xfId="15456"/>
    <cellStyle name="Normal 8 2 57 3" xfId="20573"/>
    <cellStyle name="Normal 8 2 57 4" xfId="25616"/>
    <cellStyle name="Normal 8 2 57 5" xfId="30577"/>
    <cellStyle name="Normal 8 2 57 6" xfId="35435"/>
    <cellStyle name="Normal 8 2 57 7" xfId="40166"/>
    <cellStyle name="Normal 8 2 58" xfId="8825"/>
    <cellStyle name="Normal 8 2 58 2" xfId="15906"/>
    <cellStyle name="Normal 8 2 58 3" xfId="21023"/>
    <cellStyle name="Normal 8 2 58 4" xfId="26066"/>
    <cellStyle name="Normal 8 2 58 5" xfId="31027"/>
    <cellStyle name="Normal 8 2 58 6" xfId="35885"/>
    <cellStyle name="Normal 8 2 58 7" xfId="40616"/>
    <cellStyle name="Normal 8 2 59" xfId="8349"/>
    <cellStyle name="Normal 8 2 59 2" xfId="15430"/>
    <cellStyle name="Normal 8 2 59 3" xfId="20547"/>
    <cellStyle name="Normal 8 2 59 4" xfId="25590"/>
    <cellStyle name="Normal 8 2 59 5" xfId="30551"/>
    <cellStyle name="Normal 8 2 59 6" xfId="35409"/>
    <cellStyle name="Normal 8 2 59 7" xfId="40140"/>
    <cellStyle name="Normal 8 2 6" xfId="4323"/>
    <cellStyle name="Normal 8 2 6 2" xfId="5891"/>
    <cellStyle name="Normal 8 2 6 3" xfId="17991"/>
    <cellStyle name="Normal 8 2 6 4" xfId="23034"/>
    <cellStyle name="Normal 8 2 6 5" xfId="27995"/>
    <cellStyle name="Normal 8 2 6 6" xfId="32853"/>
    <cellStyle name="Normal 8 2 6 7" xfId="37584"/>
    <cellStyle name="Normal 8 2 60" xfId="8530"/>
    <cellStyle name="Normal 8 2 60 2" xfId="15611"/>
    <cellStyle name="Normal 8 2 60 3" xfId="20728"/>
    <cellStyle name="Normal 8 2 60 4" xfId="25771"/>
    <cellStyle name="Normal 8 2 60 5" xfId="30732"/>
    <cellStyle name="Normal 8 2 60 6" xfId="35590"/>
    <cellStyle name="Normal 8 2 60 7" xfId="40321"/>
    <cellStyle name="Normal 8 2 61" xfId="8541"/>
    <cellStyle name="Normal 8 2 61 2" xfId="15622"/>
    <cellStyle name="Normal 8 2 61 3" xfId="20739"/>
    <cellStyle name="Normal 8 2 61 4" xfId="25782"/>
    <cellStyle name="Normal 8 2 61 5" xfId="30743"/>
    <cellStyle name="Normal 8 2 61 6" xfId="35601"/>
    <cellStyle name="Normal 8 2 61 7" xfId="40332"/>
    <cellStyle name="Normal 8 2 62" xfId="8969"/>
    <cellStyle name="Normal 8 2 62 2" xfId="16050"/>
    <cellStyle name="Normal 8 2 62 3" xfId="21167"/>
    <cellStyle name="Normal 8 2 62 4" xfId="26210"/>
    <cellStyle name="Normal 8 2 62 5" xfId="31171"/>
    <cellStyle name="Normal 8 2 62 6" xfId="36029"/>
    <cellStyle name="Normal 8 2 62 7" xfId="40760"/>
    <cellStyle name="Normal 8 2 63" xfId="8909"/>
    <cellStyle name="Normal 8 2 63 2" xfId="15990"/>
    <cellStyle name="Normal 8 2 63 3" xfId="21107"/>
    <cellStyle name="Normal 8 2 63 4" xfId="26150"/>
    <cellStyle name="Normal 8 2 63 5" xfId="31111"/>
    <cellStyle name="Normal 8 2 63 6" xfId="35969"/>
    <cellStyle name="Normal 8 2 63 7" xfId="40700"/>
    <cellStyle name="Normal 8 2 64" xfId="8507"/>
    <cellStyle name="Normal 8 2 64 2" xfId="15588"/>
    <cellStyle name="Normal 8 2 64 3" xfId="20705"/>
    <cellStyle name="Normal 8 2 64 4" xfId="25748"/>
    <cellStyle name="Normal 8 2 64 5" xfId="30709"/>
    <cellStyle name="Normal 8 2 64 6" xfId="35567"/>
    <cellStyle name="Normal 8 2 64 7" xfId="40298"/>
    <cellStyle name="Normal 8 2 65" xfId="9218"/>
    <cellStyle name="Normal 8 2 65 2" xfId="16299"/>
    <cellStyle name="Normal 8 2 65 3" xfId="21416"/>
    <cellStyle name="Normal 8 2 65 4" xfId="26459"/>
    <cellStyle name="Normal 8 2 65 5" xfId="31420"/>
    <cellStyle name="Normal 8 2 65 6" xfId="36278"/>
    <cellStyle name="Normal 8 2 65 7" xfId="41009"/>
    <cellStyle name="Normal 8 2 66" xfId="9538"/>
    <cellStyle name="Normal 8 2 66 2" xfId="16619"/>
    <cellStyle name="Normal 8 2 66 3" xfId="21736"/>
    <cellStyle name="Normal 8 2 66 4" xfId="26779"/>
    <cellStyle name="Normal 8 2 66 5" xfId="31740"/>
    <cellStyle name="Normal 8 2 66 6" xfId="36598"/>
    <cellStyle name="Normal 8 2 66 7" xfId="41329"/>
    <cellStyle name="Normal 8 2 67" xfId="9136"/>
    <cellStyle name="Normal 8 2 67 2" xfId="16217"/>
    <cellStyle name="Normal 8 2 67 3" xfId="21334"/>
    <cellStyle name="Normal 8 2 67 4" xfId="26377"/>
    <cellStyle name="Normal 8 2 67 5" xfId="31338"/>
    <cellStyle name="Normal 8 2 67 6" xfId="36196"/>
    <cellStyle name="Normal 8 2 67 7" xfId="40927"/>
    <cellStyle name="Normal 8 2 68" xfId="9104"/>
    <cellStyle name="Normal 8 2 68 2" xfId="16185"/>
    <cellStyle name="Normal 8 2 68 3" xfId="21302"/>
    <cellStyle name="Normal 8 2 68 4" xfId="26345"/>
    <cellStyle name="Normal 8 2 68 5" xfId="31306"/>
    <cellStyle name="Normal 8 2 68 6" xfId="36164"/>
    <cellStyle name="Normal 8 2 68 7" xfId="40895"/>
    <cellStyle name="Normal 8 2 69" xfId="9213"/>
    <cellStyle name="Normal 8 2 69 2" xfId="16294"/>
    <cellStyle name="Normal 8 2 69 3" xfId="21411"/>
    <cellStyle name="Normal 8 2 69 4" xfId="26454"/>
    <cellStyle name="Normal 8 2 69 5" xfId="31415"/>
    <cellStyle name="Normal 8 2 69 6" xfId="36273"/>
    <cellStyle name="Normal 8 2 69 7" xfId="41004"/>
    <cellStyle name="Normal 8 2 7" xfId="4386"/>
    <cellStyle name="Normal 8 2 7 2" xfId="5851"/>
    <cellStyle name="Normal 8 2 7 3" xfId="17951"/>
    <cellStyle name="Normal 8 2 7 4" xfId="22994"/>
    <cellStyle name="Normal 8 2 7 5" xfId="27955"/>
    <cellStyle name="Normal 8 2 7 6" xfId="32813"/>
    <cellStyle name="Normal 8 2 7 7" xfId="37544"/>
    <cellStyle name="Normal 8 2 70" xfId="9148"/>
    <cellStyle name="Normal 8 2 70 2" xfId="16229"/>
    <cellStyle name="Normal 8 2 70 3" xfId="21346"/>
    <cellStyle name="Normal 8 2 70 4" xfId="26389"/>
    <cellStyle name="Normal 8 2 70 5" xfId="31350"/>
    <cellStyle name="Normal 8 2 70 6" xfId="36208"/>
    <cellStyle name="Normal 8 2 70 7" xfId="40939"/>
    <cellStyle name="Normal 8 2 71" xfId="9121"/>
    <cellStyle name="Normal 8 2 71 2" xfId="16202"/>
    <cellStyle name="Normal 8 2 71 3" xfId="21319"/>
    <cellStyle name="Normal 8 2 71 4" xfId="26362"/>
    <cellStyle name="Normal 8 2 71 5" xfId="31323"/>
    <cellStyle name="Normal 8 2 71 6" xfId="36181"/>
    <cellStyle name="Normal 8 2 71 7" xfId="40912"/>
    <cellStyle name="Normal 8 2 72" xfId="9406"/>
    <cellStyle name="Normal 8 2 72 2" xfId="16487"/>
    <cellStyle name="Normal 8 2 72 3" xfId="21604"/>
    <cellStyle name="Normal 8 2 72 4" xfId="26647"/>
    <cellStyle name="Normal 8 2 72 5" xfId="31608"/>
    <cellStyle name="Normal 8 2 72 6" xfId="36466"/>
    <cellStyle name="Normal 8 2 72 7" xfId="41197"/>
    <cellStyle name="Normal 8 2 73" xfId="9266"/>
    <cellStyle name="Normal 8 2 73 2" xfId="16347"/>
    <cellStyle name="Normal 8 2 73 3" xfId="21464"/>
    <cellStyle name="Normal 8 2 73 4" xfId="26507"/>
    <cellStyle name="Normal 8 2 73 5" xfId="31468"/>
    <cellStyle name="Normal 8 2 73 6" xfId="36326"/>
    <cellStyle name="Normal 8 2 73 7" xfId="41057"/>
    <cellStyle name="Normal 8 2 74" xfId="9338"/>
    <cellStyle name="Normal 8 2 74 2" xfId="16419"/>
    <cellStyle name="Normal 8 2 74 3" xfId="21536"/>
    <cellStyle name="Normal 8 2 74 4" xfId="26579"/>
    <cellStyle name="Normal 8 2 74 5" xfId="31540"/>
    <cellStyle name="Normal 8 2 74 6" xfId="36398"/>
    <cellStyle name="Normal 8 2 74 7" xfId="41129"/>
    <cellStyle name="Normal 8 2 75" xfId="9165"/>
    <cellStyle name="Normal 8 2 75 2" xfId="16246"/>
    <cellStyle name="Normal 8 2 75 3" xfId="21363"/>
    <cellStyle name="Normal 8 2 75 4" xfId="26406"/>
    <cellStyle name="Normal 8 2 75 5" xfId="31367"/>
    <cellStyle name="Normal 8 2 75 6" xfId="36225"/>
    <cellStyle name="Normal 8 2 75 7" xfId="40956"/>
    <cellStyle name="Normal 8 2 76" xfId="9488"/>
    <cellStyle name="Normal 8 2 76 2" xfId="16569"/>
    <cellStyle name="Normal 8 2 76 3" xfId="21686"/>
    <cellStyle name="Normal 8 2 76 4" xfId="26729"/>
    <cellStyle name="Normal 8 2 76 5" xfId="31690"/>
    <cellStyle name="Normal 8 2 76 6" xfId="36548"/>
    <cellStyle name="Normal 8 2 76 7" xfId="41279"/>
    <cellStyle name="Normal 8 2 77" xfId="9795"/>
    <cellStyle name="Normal 8 2 77 2" xfId="16876"/>
    <cellStyle name="Normal 8 2 77 3" xfId="21993"/>
    <cellStyle name="Normal 8 2 77 4" xfId="27036"/>
    <cellStyle name="Normal 8 2 77 5" xfId="31997"/>
    <cellStyle name="Normal 8 2 77 6" xfId="36855"/>
    <cellStyle name="Normal 8 2 77 7" xfId="41586"/>
    <cellStyle name="Normal 8 2 78" xfId="9967"/>
    <cellStyle name="Normal 8 2 78 2" xfId="17048"/>
    <cellStyle name="Normal 8 2 78 3" xfId="22165"/>
    <cellStyle name="Normal 8 2 78 4" xfId="27208"/>
    <cellStyle name="Normal 8 2 78 5" xfId="32169"/>
    <cellStyle name="Normal 8 2 78 6" xfId="37027"/>
    <cellStyle name="Normal 8 2 78 7" xfId="41758"/>
    <cellStyle name="Normal 8 2 79" xfId="9757"/>
    <cellStyle name="Normal 8 2 79 2" xfId="16838"/>
    <cellStyle name="Normal 8 2 79 3" xfId="21955"/>
    <cellStyle name="Normal 8 2 79 4" xfId="26998"/>
    <cellStyle name="Normal 8 2 79 5" xfId="31959"/>
    <cellStyle name="Normal 8 2 79 6" xfId="36817"/>
    <cellStyle name="Normal 8 2 79 7" xfId="41548"/>
    <cellStyle name="Normal 8 2 8" xfId="4442"/>
    <cellStyle name="Normal 8 2 8 2" xfId="5993"/>
    <cellStyle name="Normal 8 2 8 3" xfId="18096"/>
    <cellStyle name="Normal 8 2 8 4" xfId="23139"/>
    <cellStyle name="Normal 8 2 8 5" xfId="28100"/>
    <cellStyle name="Normal 8 2 8 6" xfId="32958"/>
    <cellStyle name="Normal 8 2 8 7" xfId="37689"/>
    <cellStyle name="Normal 8 2 80" xfId="9741"/>
    <cellStyle name="Normal 8 2 80 2" xfId="16822"/>
    <cellStyle name="Normal 8 2 80 3" xfId="21939"/>
    <cellStyle name="Normal 8 2 80 4" xfId="26982"/>
    <cellStyle name="Normal 8 2 80 5" xfId="31943"/>
    <cellStyle name="Normal 8 2 80 6" xfId="36801"/>
    <cellStyle name="Normal 8 2 80 7" xfId="41532"/>
    <cellStyle name="Normal 8 2 81" xfId="9791"/>
    <cellStyle name="Normal 8 2 81 2" xfId="16872"/>
    <cellStyle name="Normal 8 2 81 3" xfId="21989"/>
    <cellStyle name="Normal 8 2 81 4" xfId="27032"/>
    <cellStyle name="Normal 8 2 81 5" xfId="31993"/>
    <cellStyle name="Normal 8 2 81 6" xfId="36851"/>
    <cellStyle name="Normal 8 2 81 7" xfId="41582"/>
    <cellStyle name="Normal 8 2 82" xfId="9765"/>
    <cellStyle name="Normal 8 2 82 2" xfId="16846"/>
    <cellStyle name="Normal 8 2 82 3" xfId="21963"/>
    <cellStyle name="Normal 8 2 82 4" xfId="27006"/>
    <cellStyle name="Normal 8 2 82 5" xfId="31967"/>
    <cellStyle name="Normal 8 2 82 6" xfId="36825"/>
    <cellStyle name="Normal 8 2 82 7" xfId="41556"/>
    <cellStyle name="Normal 8 2 83" xfId="10125"/>
    <cellStyle name="Normal 8 2 83 2" xfId="17206"/>
    <cellStyle name="Normal 8 2 83 3" xfId="22323"/>
    <cellStyle name="Normal 8 2 83 4" xfId="27366"/>
    <cellStyle name="Normal 8 2 83 5" xfId="32327"/>
    <cellStyle name="Normal 8 2 83 6" xfId="37185"/>
    <cellStyle name="Normal 8 2 83 7" xfId="41916"/>
    <cellStyle name="Normal 8 2 84" xfId="10297"/>
    <cellStyle name="Normal 8 2 84 2" xfId="17378"/>
    <cellStyle name="Normal 8 2 84 3" xfId="22495"/>
    <cellStyle name="Normal 8 2 84 4" xfId="27538"/>
    <cellStyle name="Normal 8 2 84 5" xfId="32499"/>
    <cellStyle name="Normal 8 2 84 6" xfId="37357"/>
    <cellStyle name="Normal 8 2 84 7" xfId="42088"/>
    <cellStyle name="Normal 8 2 85" xfId="10087"/>
    <cellStyle name="Normal 8 2 85 2" xfId="17168"/>
    <cellStyle name="Normal 8 2 85 3" xfId="22285"/>
    <cellStyle name="Normal 8 2 85 4" xfId="27328"/>
    <cellStyle name="Normal 8 2 85 5" xfId="32289"/>
    <cellStyle name="Normal 8 2 85 6" xfId="37147"/>
    <cellStyle name="Normal 8 2 85 7" xfId="41878"/>
    <cellStyle name="Normal 8 2 86" xfId="10071"/>
    <cellStyle name="Normal 8 2 86 2" xfId="17152"/>
    <cellStyle name="Normal 8 2 86 3" xfId="22269"/>
    <cellStyle name="Normal 8 2 86 4" xfId="27312"/>
    <cellStyle name="Normal 8 2 86 5" xfId="32273"/>
    <cellStyle name="Normal 8 2 86 6" xfId="37131"/>
    <cellStyle name="Normal 8 2 86 7" xfId="41862"/>
    <cellStyle name="Normal 8 2 87" xfId="10121"/>
    <cellStyle name="Normal 8 2 87 2" xfId="17202"/>
    <cellStyle name="Normal 8 2 87 3" xfId="22319"/>
    <cellStyle name="Normal 8 2 87 4" xfId="27362"/>
    <cellStyle name="Normal 8 2 87 5" xfId="32323"/>
    <cellStyle name="Normal 8 2 87 6" xfId="37181"/>
    <cellStyle name="Normal 8 2 87 7" xfId="41912"/>
    <cellStyle name="Normal 8 2 88" xfId="10095"/>
    <cellStyle name="Normal 8 2 88 2" xfId="17176"/>
    <cellStyle name="Normal 8 2 88 3" xfId="22293"/>
    <cellStyle name="Normal 8 2 88 4" xfId="27336"/>
    <cellStyle name="Normal 8 2 88 5" xfId="32297"/>
    <cellStyle name="Normal 8 2 88 6" xfId="37155"/>
    <cellStyle name="Normal 8 2 88 7" xfId="41886"/>
    <cellStyle name="Normal 8 2 89" xfId="12224"/>
    <cellStyle name="Normal 8 2 9" xfId="4526"/>
    <cellStyle name="Normal 8 2 9 2" xfId="5903"/>
    <cellStyle name="Normal 8 2 9 3" xfId="18005"/>
    <cellStyle name="Normal 8 2 9 4" xfId="23048"/>
    <cellStyle name="Normal 8 2 9 5" xfId="28009"/>
    <cellStyle name="Normal 8 2 9 6" xfId="32867"/>
    <cellStyle name="Normal 8 2 9 7" xfId="37598"/>
    <cellStyle name="Normal 8 2 90" xfId="12062"/>
    <cellStyle name="Normal 8 2 91" xfId="11942"/>
    <cellStyle name="Normal 8 2 92" xfId="14134"/>
    <cellStyle name="Normal 8 2 93" xfId="17841"/>
    <cellStyle name="Normal 8 2 94" xfId="22896"/>
    <cellStyle name="Normal 8 3" xfId="1579"/>
    <cellStyle name="Normal 8 3 2" xfId="12430"/>
    <cellStyle name="Normal 8 3 3" xfId="13125"/>
    <cellStyle name="Normal 8 3 4" xfId="11681"/>
    <cellStyle name="Normal 8 3 5" xfId="13584"/>
    <cellStyle name="Normal 8 3 6" xfId="12708"/>
    <cellStyle name="Normal 8 3 7" xfId="11678"/>
    <cellStyle name="Normal 8 4" xfId="1639"/>
    <cellStyle name="Normal 8 4 10" xfId="4604"/>
    <cellStyle name="Normal 8 4 10 2" xfId="5834"/>
    <cellStyle name="Normal 8 4 10 3" xfId="17933"/>
    <cellStyle name="Normal 8 4 10 4" xfId="22976"/>
    <cellStyle name="Normal 8 4 10 5" xfId="27937"/>
    <cellStyle name="Normal 8 4 10 6" xfId="32795"/>
    <cellStyle name="Normal 8 4 10 7" xfId="37526"/>
    <cellStyle name="Normal 8 4 11" xfId="4677"/>
    <cellStyle name="Normal 8 4 11 2" xfId="6451"/>
    <cellStyle name="Normal 8 4 11 3" xfId="18561"/>
    <cellStyle name="Normal 8 4 11 4" xfId="23604"/>
    <cellStyle name="Normal 8 4 11 5" xfId="28565"/>
    <cellStyle name="Normal 8 4 11 6" xfId="33423"/>
    <cellStyle name="Normal 8 4 11 7" xfId="38154"/>
    <cellStyle name="Normal 8 4 12" xfId="4809"/>
    <cellStyle name="Normal 8 4 12 2" xfId="5980"/>
    <cellStyle name="Normal 8 4 12 3" xfId="18083"/>
    <cellStyle name="Normal 8 4 12 4" xfId="23126"/>
    <cellStyle name="Normal 8 4 12 5" xfId="28087"/>
    <cellStyle name="Normal 8 4 12 6" xfId="32945"/>
    <cellStyle name="Normal 8 4 12 7" xfId="37676"/>
    <cellStyle name="Normal 8 4 13" xfId="4905"/>
    <cellStyle name="Normal 8 4 13 2" xfId="6063"/>
    <cellStyle name="Normal 8 4 13 3" xfId="18167"/>
    <cellStyle name="Normal 8 4 13 4" xfId="23210"/>
    <cellStyle name="Normal 8 4 13 5" xfId="28171"/>
    <cellStyle name="Normal 8 4 13 6" xfId="33029"/>
    <cellStyle name="Normal 8 4 13 7" xfId="37760"/>
    <cellStyle name="Normal 8 4 14" xfId="4889"/>
    <cellStyle name="Normal 8 4 14 2" xfId="6448"/>
    <cellStyle name="Normal 8 4 14 3" xfId="18558"/>
    <cellStyle name="Normal 8 4 14 4" xfId="23601"/>
    <cellStyle name="Normal 8 4 14 5" xfId="28562"/>
    <cellStyle name="Normal 8 4 14 6" xfId="33420"/>
    <cellStyle name="Normal 8 4 14 7" xfId="38151"/>
    <cellStyle name="Normal 8 4 15" xfId="4903"/>
    <cellStyle name="Normal 8 4 15 2" xfId="5895"/>
    <cellStyle name="Normal 8 4 15 3" xfId="17995"/>
    <cellStyle name="Normal 8 4 15 4" xfId="23038"/>
    <cellStyle name="Normal 8 4 15 5" xfId="27999"/>
    <cellStyle name="Normal 8 4 15 6" xfId="32857"/>
    <cellStyle name="Normal 8 4 15 7" xfId="37588"/>
    <cellStyle name="Normal 8 4 16" xfId="5023"/>
    <cellStyle name="Normal 8 4 16 2" xfId="5843"/>
    <cellStyle name="Normal 8 4 16 3" xfId="17943"/>
    <cellStyle name="Normal 8 4 16 4" xfId="22986"/>
    <cellStyle name="Normal 8 4 16 5" xfId="27947"/>
    <cellStyle name="Normal 8 4 16 6" xfId="32805"/>
    <cellStyle name="Normal 8 4 16 7" xfId="37536"/>
    <cellStyle name="Normal 8 4 17" xfId="5124"/>
    <cellStyle name="Normal 8 4 17 2" xfId="5818"/>
    <cellStyle name="Normal 8 4 17 3" xfId="17916"/>
    <cellStyle name="Normal 8 4 17 4" xfId="22959"/>
    <cellStyle name="Normal 8 4 17 5" xfId="27920"/>
    <cellStyle name="Normal 8 4 17 6" xfId="32778"/>
    <cellStyle name="Normal 8 4 17 7" xfId="37509"/>
    <cellStyle name="Normal 8 4 18" xfId="4973"/>
    <cellStyle name="Normal 8 4 18 2" xfId="6375"/>
    <cellStyle name="Normal 8 4 18 3" xfId="18484"/>
    <cellStyle name="Normal 8 4 18 4" xfId="23527"/>
    <cellStyle name="Normal 8 4 18 5" xfId="28488"/>
    <cellStyle name="Normal 8 4 18 6" xfId="33346"/>
    <cellStyle name="Normal 8 4 18 7" xfId="38077"/>
    <cellStyle name="Normal 8 4 19" xfId="5039"/>
    <cellStyle name="Normal 8 4 19 2" xfId="6724"/>
    <cellStyle name="Normal 8 4 19 3" xfId="18845"/>
    <cellStyle name="Normal 8 4 19 4" xfId="23888"/>
    <cellStyle name="Normal 8 4 19 5" xfId="28849"/>
    <cellStyle name="Normal 8 4 19 6" xfId="33707"/>
    <cellStyle name="Normal 8 4 19 7" xfId="38438"/>
    <cellStyle name="Normal 8 4 2" xfId="2461"/>
    <cellStyle name="Normal 8 4 2 2" xfId="13008"/>
    <cellStyle name="Normal 8 4 2 3" xfId="14144"/>
    <cellStyle name="Normal 8 4 2 4" xfId="17849"/>
    <cellStyle name="Normal 8 4 2 5" xfId="22903"/>
    <cellStyle name="Normal 8 4 2 6" xfId="27871"/>
    <cellStyle name="Normal 8 4 2 7" xfId="32740"/>
    <cellStyle name="Normal 8 4 20" xfId="5344"/>
    <cellStyle name="Normal 8 4 20 2" xfId="6820"/>
    <cellStyle name="Normal 8 4 20 3" xfId="18941"/>
    <cellStyle name="Normal 8 4 20 4" xfId="23984"/>
    <cellStyle name="Normal 8 4 20 5" xfId="28945"/>
    <cellStyle name="Normal 8 4 20 6" xfId="33803"/>
    <cellStyle name="Normal 8 4 20 7" xfId="38534"/>
    <cellStyle name="Normal 8 4 21" xfId="5545"/>
    <cellStyle name="Normal 8 4 21 2" xfId="6808"/>
    <cellStyle name="Normal 8 4 21 3" xfId="18929"/>
    <cellStyle name="Normal 8 4 21 4" xfId="23972"/>
    <cellStyle name="Normal 8 4 21 5" xfId="28933"/>
    <cellStyle name="Normal 8 4 21 6" xfId="33791"/>
    <cellStyle name="Normal 8 4 21 7" xfId="38522"/>
    <cellStyle name="Normal 8 4 22" xfId="5502"/>
    <cellStyle name="Normal 8 4 22 2" xfId="6818"/>
    <cellStyle name="Normal 8 4 22 3" xfId="18939"/>
    <cellStyle name="Normal 8 4 22 4" xfId="23982"/>
    <cellStyle name="Normal 8 4 22 5" xfId="28943"/>
    <cellStyle name="Normal 8 4 22 6" xfId="33801"/>
    <cellStyle name="Normal 8 4 22 7" xfId="38532"/>
    <cellStyle name="Normal 8 4 23" xfId="5532"/>
    <cellStyle name="Normal 8 4 23 2" xfId="7064"/>
    <cellStyle name="Normal 8 4 23 3" xfId="19208"/>
    <cellStyle name="Normal 8 4 23 4" xfId="24251"/>
    <cellStyle name="Normal 8 4 23 5" xfId="29212"/>
    <cellStyle name="Normal 8 4 23 6" xfId="34070"/>
    <cellStyle name="Normal 8 4 23 7" xfId="38801"/>
    <cellStyle name="Normal 8 4 24" xfId="5447"/>
    <cellStyle name="Normal 8 4 24 2" xfId="7304"/>
    <cellStyle name="Normal 8 4 24 3" xfId="19473"/>
    <cellStyle name="Normal 8 4 24 4" xfId="24516"/>
    <cellStyle name="Normal 8 4 24 5" xfId="29477"/>
    <cellStyle name="Normal 8 4 24 6" xfId="34335"/>
    <cellStyle name="Normal 8 4 24 7" xfId="39066"/>
    <cellStyle name="Normal 8 4 25" xfId="5230"/>
    <cellStyle name="Normal 8 4 25 2" xfId="7257"/>
    <cellStyle name="Normal 8 4 25 3" xfId="19420"/>
    <cellStyle name="Normal 8 4 25 4" xfId="24463"/>
    <cellStyle name="Normal 8 4 25 5" xfId="29424"/>
    <cellStyle name="Normal 8 4 25 6" xfId="34282"/>
    <cellStyle name="Normal 8 4 25 7" xfId="39013"/>
    <cellStyle name="Normal 8 4 26" xfId="5212"/>
    <cellStyle name="Normal 8 4 26 2" xfId="7286"/>
    <cellStyle name="Normal 8 4 26 3" xfId="19453"/>
    <cellStyle name="Normal 8 4 26 4" xfId="24496"/>
    <cellStyle name="Normal 8 4 26 5" xfId="29457"/>
    <cellStyle name="Normal 8 4 26 6" xfId="34315"/>
    <cellStyle name="Normal 8 4 26 7" xfId="39046"/>
    <cellStyle name="Normal 8 4 27" xfId="5203"/>
    <cellStyle name="Normal 8 4 27 2" xfId="7192"/>
    <cellStyle name="Normal 8 4 27 3" xfId="19347"/>
    <cellStyle name="Normal 8 4 27 4" xfId="24390"/>
    <cellStyle name="Normal 8 4 27 5" xfId="29351"/>
    <cellStyle name="Normal 8 4 27 6" xfId="34209"/>
    <cellStyle name="Normal 8 4 27 7" xfId="38940"/>
    <cellStyle name="Normal 8 4 28" xfId="5366"/>
    <cellStyle name="Normal 8 4 28 2" xfId="6928"/>
    <cellStyle name="Normal 8 4 28 3" xfId="19056"/>
    <cellStyle name="Normal 8 4 28 4" xfId="24099"/>
    <cellStyle name="Normal 8 4 28 5" xfId="29060"/>
    <cellStyle name="Normal 8 4 28 6" xfId="33918"/>
    <cellStyle name="Normal 8 4 28 7" xfId="38649"/>
    <cellStyle name="Normal 8 4 29" xfId="5763"/>
    <cellStyle name="Normal 8 4 29 2" xfId="14238"/>
    <cellStyle name="Normal 8 4 29 3" xfId="19037"/>
    <cellStyle name="Normal 8 4 29 4" xfId="24080"/>
    <cellStyle name="Normal 8 4 29 5" xfId="29041"/>
    <cellStyle name="Normal 8 4 29 6" xfId="33899"/>
    <cellStyle name="Normal 8 4 29 7" xfId="38630"/>
    <cellStyle name="Normal 8 4 3" xfId="4259"/>
    <cellStyle name="Normal 8 4 3 2" xfId="6061"/>
    <cellStyle name="Normal 8 4 3 3" xfId="18165"/>
    <cellStyle name="Normal 8 4 3 4" xfId="23208"/>
    <cellStyle name="Normal 8 4 3 5" xfId="28169"/>
    <cellStyle name="Normal 8 4 3 6" xfId="33027"/>
    <cellStyle name="Normal 8 4 3 7" xfId="37758"/>
    <cellStyle name="Normal 8 4 30" xfId="6907"/>
    <cellStyle name="Normal 8 4 30 2" xfId="14235"/>
    <cellStyle name="Normal 8 4 30 3" xfId="19031"/>
    <cellStyle name="Normal 8 4 30 4" xfId="24074"/>
    <cellStyle name="Normal 8 4 30 5" xfId="29035"/>
    <cellStyle name="Normal 8 4 30 6" xfId="33893"/>
    <cellStyle name="Normal 8 4 30 7" xfId="38624"/>
    <cellStyle name="Normal 8 4 31" xfId="7339"/>
    <cellStyle name="Normal 8 4 31 2" xfId="14461"/>
    <cellStyle name="Normal 8 4 31 3" xfId="19511"/>
    <cellStyle name="Normal 8 4 31 4" xfId="24554"/>
    <cellStyle name="Normal 8 4 31 5" xfId="29515"/>
    <cellStyle name="Normal 8 4 31 6" xfId="34373"/>
    <cellStyle name="Normal 8 4 31 7" xfId="39104"/>
    <cellStyle name="Normal 8 4 32" xfId="7007"/>
    <cellStyle name="Normal 8 4 32 2" xfId="14297"/>
    <cellStyle name="Normal 8 4 32 3" xfId="19146"/>
    <cellStyle name="Normal 8 4 32 4" xfId="24189"/>
    <cellStyle name="Normal 8 4 32 5" xfId="29150"/>
    <cellStyle name="Normal 8 4 32 6" xfId="34008"/>
    <cellStyle name="Normal 8 4 32 7" xfId="38739"/>
    <cellStyle name="Normal 8 4 33" xfId="7066"/>
    <cellStyle name="Normal 8 4 33 2" xfId="14328"/>
    <cellStyle name="Normal 8 4 33 3" xfId="19210"/>
    <cellStyle name="Normal 8 4 33 4" xfId="24253"/>
    <cellStyle name="Normal 8 4 33 5" xfId="29214"/>
    <cellStyle name="Normal 8 4 33 6" xfId="34072"/>
    <cellStyle name="Normal 8 4 33 7" xfId="38803"/>
    <cellStyle name="Normal 8 4 34" xfId="7337"/>
    <cellStyle name="Normal 8 4 34 2" xfId="14460"/>
    <cellStyle name="Normal 8 4 34 3" xfId="19509"/>
    <cellStyle name="Normal 8 4 34 4" xfId="24552"/>
    <cellStyle name="Normal 8 4 34 5" xfId="29513"/>
    <cellStyle name="Normal 8 4 34 6" xfId="34371"/>
    <cellStyle name="Normal 8 4 34 7" xfId="39102"/>
    <cellStyle name="Normal 8 4 35" xfId="7704"/>
    <cellStyle name="Normal 8 4 35 2" xfId="14784"/>
    <cellStyle name="Normal 8 4 35 3" xfId="19901"/>
    <cellStyle name="Normal 8 4 35 4" xfId="24944"/>
    <cellStyle name="Normal 8 4 35 5" xfId="29905"/>
    <cellStyle name="Normal 8 4 35 6" xfId="34763"/>
    <cellStyle name="Normal 8 4 35 7" xfId="39494"/>
    <cellStyle name="Normal 8 4 36" xfId="8009"/>
    <cellStyle name="Normal 8 4 36 2" xfId="15089"/>
    <cellStyle name="Normal 8 4 36 3" xfId="20206"/>
    <cellStyle name="Normal 8 4 36 4" xfId="25249"/>
    <cellStyle name="Normal 8 4 36 5" xfId="30210"/>
    <cellStyle name="Normal 8 4 36 6" xfId="35068"/>
    <cellStyle name="Normal 8 4 36 7" xfId="39799"/>
    <cellStyle name="Normal 8 4 37" xfId="7939"/>
    <cellStyle name="Normal 8 4 37 2" xfId="15019"/>
    <cellStyle name="Normal 8 4 37 3" xfId="20136"/>
    <cellStyle name="Normal 8 4 37 4" xfId="25179"/>
    <cellStyle name="Normal 8 4 37 5" xfId="30140"/>
    <cellStyle name="Normal 8 4 37 6" xfId="34998"/>
    <cellStyle name="Normal 8 4 37 7" xfId="39729"/>
    <cellStyle name="Normal 8 4 38" xfId="7983"/>
    <cellStyle name="Normal 8 4 38 2" xfId="15063"/>
    <cellStyle name="Normal 8 4 38 3" xfId="20180"/>
    <cellStyle name="Normal 8 4 38 4" xfId="25223"/>
    <cellStyle name="Normal 8 4 38 5" xfId="30184"/>
    <cellStyle name="Normal 8 4 38 6" xfId="35042"/>
    <cellStyle name="Normal 8 4 38 7" xfId="39773"/>
    <cellStyle name="Normal 8 4 39" xfId="7853"/>
    <cellStyle name="Normal 8 4 39 2" xfId="14933"/>
    <cellStyle name="Normal 8 4 39 3" xfId="20050"/>
    <cellStyle name="Normal 8 4 39 4" xfId="25093"/>
    <cellStyle name="Normal 8 4 39 5" xfId="30054"/>
    <cellStyle name="Normal 8 4 39 6" xfId="34912"/>
    <cellStyle name="Normal 8 4 39 7" xfId="39643"/>
    <cellStyle name="Normal 8 4 4" xfId="4269"/>
    <cellStyle name="Normal 8 4 4 2" xfId="6400"/>
    <cellStyle name="Normal 8 4 4 3" xfId="18510"/>
    <cellStyle name="Normal 8 4 4 4" xfId="23553"/>
    <cellStyle name="Normal 8 4 4 5" xfId="28514"/>
    <cellStyle name="Normal 8 4 4 6" xfId="33372"/>
    <cellStyle name="Normal 8 4 4 7" xfId="38103"/>
    <cellStyle name="Normal 8 4 40" xfId="7527"/>
    <cellStyle name="Normal 8 4 40 2" xfId="14605"/>
    <cellStyle name="Normal 8 4 40 3" xfId="19722"/>
    <cellStyle name="Normal 8 4 40 4" xfId="24765"/>
    <cellStyle name="Normal 8 4 40 5" xfId="29726"/>
    <cellStyle name="Normal 8 4 40 6" xfId="34584"/>
    <cellStyle name="Normal 8 4 40 7" xfId="39315"/>
    <cellStyle name="Normal 8 4 41" xfId="7504"/>
    <cellStyle name="Normal 8 4 41 2" xfId="14581"/>
    <cellStyle name="Normal 8 4 41 3" xfId="19698"/>
    <cellStyle name="Normal 8 4 41 4" xfId="24741"/>
    <cellStyle name="Normal 8 4 41 5" xfId="29702"/>
    <cellStyle name="Normal 8 4 41 6" xfId="34560"/>
    <cellStyle name="Normal 8 4 41 7" xfId="39291"/>
    <cellStyle name="Normal 8 4 42" xfId="7499"/>
    <cellStyle name="Normal 8 4 42 2" xfId="14575"/>
    <cellStyle name="Normal 8 4 42 3" xfId="19692"/>
    <cellStyle name="Normal 8 4 42 4" xfId="24735"/>
    <cellStyle name="Normal 8 4 42 5" xfId="29696"/>
    <cellStyle name="Normal 8 4 42 6" xfId="34554"/>
    <cellStyle name="Normal 8 4 42 7" xfId="39285"/>
    <cellStyle name="Normal 8 4 43" xfId="8055"/>
    <cellStyle name="Normal 8 4 43 2" xfId="15135"/>
    <cellStyle name="Normal 8 4 43 3" xfId="20252"/>
    <cellStyle name="Normal 8 4 43 4" xfId="25295"/>
    <cellStyle name="Normal 8 4 43 5" xfId="30256"/>
    <cellStyle name="Normal 8 4 43 6" xfId="35114"/>
    <cellStyle name="Normal 8 4 43 7" xfId="39845"/>
    <cellStyle name="Normal 8 4 44" xfId="7632"/>
    <cellStyle name="Normal 8 4 44 2" xfId="14712"/>
    <cellStyle name="Normal 8 4 44 3" xfId="19829"/>
    <cellStyle name="Normal 8 4 44 4" xfId="24872"/>
    <cellStyle name="Normal 8 4 44 5" xfId="29833"/>
    <cellStyle name="Normal 8 4 44 6" xfId="34691"/>
    <cellStyle name="Normal 8 4 44 7" xfId="39422"/>
    <cellStyle name="Normal 8 4 45" xfId="7706"/>
    <cellStyle name="Normal 8 4 45 2" xfId="14786"/>
    <cellStyle name="Normal 8 4 45 3" xfId="19903"/>
    <cellStyle name="Normal 8 4 45 4" xfId="24946"/>
    <cellStyle name="Normal 8 4 45 5" xfId="29907"/>
    <cellStyle name="Normal 8 4 45 6" xfId="34765"/>
    <cellStyle name="Normal 8 4 45 7" xfId="39496"/>
    <cellStyle name="Normal 8 4 46" xfId="8052"/>
    <cellStyle name="Normal 8 4 46 2" xfId="15132"/>
    <cellStyle name="Normal 8 4 46 3" xfId="20249"/>
    <cellStyle name="Normal 8 4 46 4" xfId="25292"/>
    <cellStyle name="Normal 8 4 46 5" xfId="30253"/>
    <cellStyle name="Normal 8 4 46 6" xfId="35111"/>
    <cellStyle name="Normal 8 4 46 7" xfId="39842"/>
    <cellStyle name="Normal 8 4 47" xfId="7554"/>
    <cellStyle name="Normal 8 4 47 2" xfId="14633"/>
    <cellStyle name="Normal 8 4 47 3" xfId="19750"/>
    <cellStyle name="Normal 8 4 47 4" xfId="24793"/>
    <cellStyle name="Normal 8 4 47 5" xfId="29754"/>
    <cellStyle name="Normal 8 4 47 6" xfId="34612"/>
    <cellStyle name="Normal 8 4 47 7" xfId="39343"/>
    <cellStyle name="Normal 8 4 48" xfId="7506"/>
    <cellStyle name="Normal 8 4 48 2" xfId="14583"/>
    <cellStyle name="Normal 8 4 48 3" xfId="19700"/>
    <cellStyle name="Normal 8 4 48 4" xfId="24743"/>
    <cellStyle name="Normal 8 4 48 5" xfId="29704"/>
    <cellStyle name="Normal 8 4 48 6" xfId="34562"/>
    <cellStyle name="Normal 8 4 48 7" xfId="39293"/>
    <cellStyle name="Normal 8 4 49" xfId="8488"/>
    <cellStyle name="Normal 8 4 49 2" xfId="15569"/>
    <cellStyle name="Normal 8 4 49 3" xfId="20686"/>
    <cellStyle name="Normal 8 4 49 4" xfId="25729"/>
    <cellStyle name="Normal 8 4 49 5" xfId="30690"/>
    <cellStyle name="Normal 8 4 49 6" xfId="35548"/>
    <cellStyle name="Normal 8 4 49 7" xfId="40279"/>
    <cellStyle name="Normal 8 4 5" xfId="4315"/>
    <cellStyle name="Normal 8 4 5 2" xfId="6323"/>
    <cellStyle name="Normal 8 4 5 3" xfId="18431"/>
    <cellStyle name="Normal 8 4 5 4" xfId="23474"/>
    <cellStyle name="Normal 8 4 5 5" xfId="28435"/>
    <cellStyle name="Normal 8 4 5 6" xfId="33293"/>
    <cellStyle name="Normal 8 4 5 7" xfId="38024"/>
    <cellStyle name="Normal 8 4 50" xfId="8807"/>
    <cellStyle name="Normal 8 4 50 2" xfId="15888"/>
    <cellStyle name="Normal 8 4 50 3" xfId="21005"/>
    <cellStyle name="Normal 8 4 50 4" xfId="26048"/>
    <cellStyle name="Normal 8 4 50 5" xfId="31009"/>
    <cellStyle name="Normal 8 4 50 6" xfId="35867"/>
    <cellStyle name="Normal 8 4 50 7" xfId="40598"/>
    <cellStyle name="Normal 8 4 51" xfId="8735"/>
    <cellStyle name="Normal 8 4 51 2" xfId="15816"/>
    <cellStyle name="Normal 8 4 51 3" xfId="20933"/>
    <cellStyle name="Normal 8 4 51 4" xfId="25976"/>
    <cellStyle name="Normal 8 4 51 5" xfId="30937"/>
    <cellStyle name="Normal 8 4 51 6" xfId="35795"/>
    <cellStyle name="Normal 8 4 51 7" xfId="40526"/>
    <cellStyle name="Normal 8 4 52" xfId="8782"/>
    <cellStyle name="Normal 8 4 52 2" xfId="15863"/>
    <cellStyle name="Normal 8 4 52 3" xfId="20980"/>
    <cellStyle name="Normal 8 4 52 4" xfId="26023"/>
    <cellStyle name="Normal 8 4 52 5" xfId="30984"/>
    <cellStyle name="Normal 8 4 52 6" xfId="35842"/>
    <cellStyle name="Normal 8 4 52 7" xfId="40573"/>
    <cellStyle name="Normal 8 4 53" xfId="8649"/>
    <cellStyle name="Normal 8 4 53 2" xfId="15730"/>
    <cellStyle name="Normal 8 4 53 3" xfId="20847"/>
    <cellStyle name="Normal 8 4 53 4" xfId="25890"/>
    <cellStyle name="Normal 8 4 53 5" xfId="30851"/>
    <cellStyle name="Normal 8 4 53 6" xfId="35709"/>
    <cellStyle name="Normal 8 4 53 7" xfId="40440"/>
    <cellStyle name="Normal 8 4 54" xfId="8309"/>
    <cellStyle name="Normal 8 4 54 2" xfId="15390"/>
    <cellStyle name="Normal 8 4 54 3" xfId="20507"/>
    <cellStyle name="Normal 8 4 54 4" xfId="25550"/>
    <cellStyle name="Normal 8 4 54 5" xfId="30511"/>
    <cellStyle name="Normal 8 4 54 6" xfId="35369"/>
    <cellStyle name="Normal 8 4 54 7" xfId="40100"/>
    <cellStyle name="Normal 8 4 55" xfId="8287"/>
    <cellStyle name="Normal 8 4 55 2" xfId="15368"/>
    <cellStyle name="Normal 8 4 55 3" xfId="20485"/>
    <cellStyle name="Normal 8 4 55 4" xfId="25528"/>
    <cellStyle name="Normal 8 4 55 5" xfId="30489"/>
    <cellStyle name="Normal 8 4 55 6" xfId="35347"/>
    <cellStyle name="Normal 8 4 55 7" xfId="40078"/>
    <cellStyle name="Normal 8 4 56" xfId="8494"/>
    <cellStyle name="Normal 8 4 56 2" xfId="15575"/>
    <cellStyle name="Normal 8 4 56 3" xfId="20692"/>
    <cellStyle name="Normal 8 4 56 4" xfId="25735"/>
    <cellStyle name="Normal 8 4 56 5" xfId="30696"/>
    <cellStyle name="Normal 8 4 56 6" xfId="35554"/>
    <cellStyle name="Normal 8 4 56 7" xfId="40285"/>
    <cellStyle name="Normal 8 4 57" xfId="8381"/>
    <cellStyle name="Normal 8 4 57 2" xfId="15462"/>
    <cellStyle name="Normal 8 4 57 3" xfId="20579"/>
    <cellStyle name="Normal 8 4 57 4" xfId="25622"/>
    <cellStyle name="Normal 8 4 57 5" xfId="30583"/>
    <cellStyle name="Normal 8 4 57 6" xfId="35441"/>
    <cellStyle name="Normal 8 4 57 7" xfId="40172"/>
    <cellStyle name="Normal 8 4 58" xfId="8279"/>
    <cellStyle name="Normal 8 4 58 2" xfId="15360"/>
    <cellStyle name="Normal 8 4 58 3" xfId="20477"/>
    <cellStyle name="Normal 8 4 58 4" xfId="25520"/>
    <cellStyle name="Normal 8 4 58 5" xfId="30481"/>
    <cellStyle name="Normal 8 4 58 6" xfId="35339"/>
    <cellStyle name="Normal 8 4 58 7" xfId="40070"/>
    <cellStyle name="Normal 8 4 59" xfId="8780"/>
    <cellStyle name="Normal 8 4 59 2" xfId="15861"/>
    <cellStyle name="Normal 8 4 59 3" xfId="20978"/>
    <cellStyle name="Normal 8 4 59 4" xfId="26021"/>
    <cellStyle name="Normal 8 4 59 5" xfId="30982"/>
    <cellStyle name="Normal 8 4 59 6" xfId="35840"/>
    <cellStyle name="Normal 8 4 59 7" xfId="40571"/>
    <cellStyle name="Normal 8 4 6" xfId="4395"/>
    <cellStyle name="Normal 8 4 6 2" xfId="6373"/>
    <cellStyle name="Normal 8 4 6 3" xfId="18482"/>
    <cellStyle name="Normal 8 4 6 4" xfId="23525"/>
    <cellStyle name="Normal 8 4 6 5" xfId="28486"/>
    <cellStyle name="Normal 8 4 6 6" xfId="33344"/>
    <cellStyle name="Normal 8 4 6 7" xfId="38075"/>
    <cellStyle name="Normal 8 4 60" xfId="8386"/>
    <cellStyle name="Normal 8 4 60 2" xfId="15467"/>
    <cellStyle name="Normal 8 4 60 3" xfId="20584"/>
    <cellStyle name="Normal 8 4 60 4" xfId="25627"/>
    <cellStyle name="Normal 8 4 60 5" xfId="30588"/>
    <cellStyle name="Normal 8 4 60 6" xfId="35446"/>
    <cellStyle name="Normal 8 4 60 7" xfId="40177"/>
    <cellStyle name="Normal 8 4 61" xfId="8815"/>
    <cellStyle name="Normal 8 4 61 2" xfId="15896"/>
    <cellStyle name="Normal 8 4 61 3" xfId="21013"/>
    <cellStyle name="Normal 8 4 61 4" xfId="26056"/>
    <cellStyle name="Normal 8 4 61 5" xfId="31017"/>
    <cellStyle name="Normal 8 4 61 6" xfId="35875"/>
    <cellStyle name="Normal 8 4 61 7" xfId="40606"/>
    <cellStyle name="Normal 8 4 62" xfId="8245"/>
    <cellStyle name="Normal 8 4 62 2" xfId="15326"/>
    <cellStyle name="Normal 8 4 62 3" xfId="20443"/>
    <cellStyle name="Normal 8 4 62 4" xfId="25486"/>
    <cellStyle name="Normal 8 4 62 5" xfId="30447"/>
    <cellStyle name="Normal 8 4 62 6" xfId="35305"/>
    <cellStyle name="Normal 8 4 62 7" xfId="40036"/>
    <cellStyle name="Normal 8 4 63" xfId="8850"/>
    <cellStyle name="Normal 8 4 63 2" xfId="15931"/>
    <cellStyle name="Normal 8 4 63 3" xfId="21048"/>
    <cellStyle name="Normal 8 4 63 4" xfId="26091"/>
    <cellStyle name="Normal 8 4 63 5" xfId="31052"/>
    <cellStyle name="Normal 8 4 63 6" xfId="35910"/>
    <cellStyle name="Normal 8 4 63 7" xfId="40641"/>
    <cellStyle name="Normal 8 4 64" xfId="9268"/>
    <cellStyle name="Normal 8 4 64 2" xfId="16349"/>
    <cellStyle name="Normal 8 4 64 3" xfId="21466"/>
    <cellStyle name="Normal 8 4 64 4" xfId="26509"/>
    <cellStyle name="Normal 8 4 64 5" xfId="31470"/>
    <cellStyle name="Normal 8 4 64 6" xfId="36328"/>
    <cellStyle name="Normal 8 4 64 7" xfId="41059"/>
    <cellStyle name="Normal 8 4 65" xfId="9533"/>
    <cellStyle name="Normal 8 4 65 2" xfId="16614"/>
    <cellStyle name="Normal 8 4 65 3" xfId="21731"/>
    <cellStyle name="Normal 8 4 65 4" xfId="26774"/>
    <cellStyle name="Normal 8 4 65 5" xfId="31735"/>
    <cellStyle name="Normal 8 4 65 6" xfId="36593"/>
    <cellStyle name="Normal 8 4 65 7" xfId="41324"/>
    <cellStyle name="Normal 8 4 66" xfId="9480"/>
    <cellStyle name="Normal 8 4 66 2" xfId="16561"/>
    <cellStyle name="Normal 8 4 66 3" xfId="21678"/>
    <cellStyle name="Normal 8 4 66 4" xfId="26721"/>
    <cellStyle name="Normal 8 4 66 5" xfId="31682"/>
    <cellStyle name="Normal 8 4 66 6" xfId="36540"/>
    <cellStyle name="Normal 8 4 66 7" xfId="41271"/>
    <cellStyle name="Normal 8 4 67" xfId="9513"/>
    <cellStyle name="Normal 8 4 67 2" xfId="16594"/>
    <cellStyle name="Normal 8 4 67 3" xfId="21711"/>
    <cellStyle name="Normal 8 4 67 4" xfId="26754"/>
    <cellStyle name="Normal 8 4 67 5" xfId="31715"/>
    <cellStyle name="Normal 8 4 67 6" xfId="36573"/>
    <cellStyle name="Normal 8 4 67 7" xfId="41304"/>
    <cellStyle name="Normal 8 4 68" xfId="9407"/>
    <cellStyle name="Normal 8 4 68 2" xfId="16488"/>
    <cellStyle name="Normal 8 4 68 3" xfId="21605"/>
    <cellStyle name="Normal 8 4 68 4" xfId="26648"/>
    <cellStyle name="Normal 8 4 68 5" xfId="31609"/>
    <cellStyle name="Normal 8 4 68 6" xfId="36467"/>
    <cellStyle name="Normal 8 4 68 7" xfId="41198"/>
    <cellStyle name="Normal 8 4 69" xfId="9116"/>
    <cellStyle name="Normal 8 4 69 2" xfId="16197"/>
    <cellStyle name="Normal 8 4 69 3" xfId="21314"/>
    <cellStyle name="Normal 8 4 69 4" xfId="26357"/>
    <cellStyle name="Normal 8 4 69 5" xfId="31318"/>
    <cellStyle name="Normal 8 4 69 6" xfId="36176"/>
    <cellStyle name="Normal 8 4 69 7" xfId="40907"/>
    <cellStyle name="Normal 8 4 7" xfId="4451"/>
    <cellStyle name="Normal 8 4 7 2" xfId="6227"/>
    <cellStyle name="Normal 8 4 7 3" xfId="18331"/>
    <cellStyle name="Normal 8 4 7 4" xfId="23374"/>
    <cellStyle name="Normal 8 4 7 5" xfId="28335"/>
    <cellStyle name="Normal 8 4 7 6" xfId="33193"/>
    <cellStyle name="Normal 8 4 7 7" xfId="37924"/>
    <cellStyle name="Normal 8 4 70" xfId="9097"/>
    <cellStyle name="Normal 8 4 70 2" xfId="16178"/>
    <cellStyle name="Normal 8 4 70 3" xfId="21295"/>
    <cellStyle name="Normal 8 4 70 4" xfId="26338"/>
    <cellStyle name="Normal 8 4 70 5" xfId="31299"/>
    <cellStyle name="Normal 8 4 70 6" xfId="36157"/>
    <cellStyle name="Normal 8 4 70 7" xfId="40888"/>
    <cellStyle name="Normal 8 4 71" xfId="9091"/>
    <cellStyle name="Normal 8 4 71 2" xfId="16172"/>
    <cellStyle name="Normal 8 4 71 3" xfId="21289"/>
    <cellStyle name="Normal 8 4 71 4" xfId="26332"/>
    <cellStyle name="Normal 8 4 71 5" xfId="31293"/>
    <cellStyle name="Normal 8 4 71 6" xfId="36151"/>
    <cellStyle name="Normal 8 4 71 7" xfId="40882"/>
    <cellStyle name="Normal 8 4 72" xfId="9571"/>
    <cellStyle name="Normal 8 4 72 2" xfId="16652"/>
    <cellStyle name="Normal 8 4 72 3" xfId="21769"/>
    <cellStyle name="Normal 8 4 72 4" xfId="26812"/>
    <cellStyle name="Normal 8 4 72 5" xfId="31773"/>
    <cellStyle name="Normal 8 4 72 6" xfId="36631"/>
    <cellStyle name="Normal 8 4 72 7" xfId="41362"/>
    <cellStyle name="Normal 8 4 73" xfId="9206"/>
    <cellStyle name="Normal 8 4 73 2" xfId="16287"/>
    <cellStyle name="Normal 8 4 73 3" xfId="21404"/>
    <cellStyle name="Normal 8 4 73 4" xfId="26447"/>
    <cellStyle name="Normal 8 4 73 5" xfId="31408"/>
    <cellStyle name="Normal 8 4 73 6" xfId="36266"/>
    <cellStyle name="Normal 8 4 73 7" xfId="40997"/>
    <cellStyle name="Normal 8 4 74" xfId="9270"/>
    <cellStyle name="Normal 8 4 74 2" xfId="16351"/>
    <cellStyle name="Normal 8 4 74 3" xfId="21468"/>
    <cellStyle name="Normal 8 4 74 4" xfId="26511"/>
    <cellStyle name="Normal 8 4 74 5" xfId="31472"/>
    <cellStyle name="Normal 8 4 74 6" xfId="36330"/>
    <cellStyle name="Normal 8 4 74 7" xfId="41061"/>
    <cellStyle name="Normal 8 4 75" xfId="9569"/>
    <cellStyle name="Normal 8 4 75 2" xfId="16650"/>
    <cellStyle name="Normal 8 4 75 3" xfId="21767"/>
    <cellStyle name="Normal 8 4 75 4" xfId="26810"/>
    <cellStyle name="Normal 8 4 75 5" xfId="31771"/>
    <cellStyle name="Normal 8 4 75 6" xfId="36629"/>
    <cellStyle name="Normal 8 4 75 7" xfId="41360"/>
    <cellStyle name="Normal 8 4 76" xfId="9821"/>
    <cellStyle name="Normal 8 4 76 2" xfId="16902"/>
    <cellStyle name="Normal 8 4 76 3" xfId="22019"/>
    <cellStyle name="Normal 8 4 76 4" xfId="27062"/>
    <cellStyle name="Normal 8 4 76 5" xfId="32023"/>
    <cellStyle name="Normal 8 4 76 6" xfId="36881"/>
    <cellStyle name="Normal 8 4 76 7" xfId="41612"/>
    <cellStyle name="Normal 8 4 77" xfId="9963"/>
    <cellStyle name="Normal 8 4 77 2" xfId="17044"/>
    <cellStyle name="Normal 8 4 77 3" xfId="22161"/>
    <cellStyle name="Normal 8 4 77 4" xfId="27204"/>
    <cellStyle name="Normal 8 4 77 5" xfId="32165"/>
    <cellStyle name="Normal 8 4 77 6" xfId="37023"/>
    <cellStyle name="Normal 8 4 77 7" xfId="41754"/>
    <cellStyle name="Normal 8 4 78" xfId="9942"/>
    <cellStyle name="Normal 8 4 78 2" xfId="17023"/>
    <cellStyle name="Normal 8 4 78 3" xfId="22140"/>
    <cellStyle name="Normal 8 4 78 4" xfId="27183"/>
    <cellStyle name="Normal 8 4 78 5" xfId="32144"/>
    <cellStyle name="Normal 8 4 78 6" xfId="37002"/>
    <cellStyle name="Normal 8 4 78 7" xfId="41733"/>
    <cellStyle name="Normal 8 4 79" xfId="9957"/>
    <cellStyle name="Normal 8 4 79 2" xfId="17038"/>
    <cellStyle name="Normal 8 4 79 3" xfId="22155"/>
    <cellStyle name="Normal 8 4 79 4" xfId="27198"/>
    <cellStyle name="Normal 8 4 79 5" xfId="32159"/>
    <cellStyle name="Normal 8 4 79 6" xfId="37017"/>
    <cellStyle name="Normal 8 4 79 7" xfId="41748"/>
    <cellStyle name="Normal 8 4 8" xfId="4538"/>
    <cellStyle name="Normal 8 4 8 2" xfId="5866"/>
    <cellStyle name="Normal 8 4 8 3" xfId="17966"/>
    <cellStyle name="Normal 8 4 8 4" xfId="23009"/>
    <cellStyle name="Normal 8 4 8 5" xfId="27970"/>
    <cellStyle name="Normal 8 4 8 6" xfId="32828"/>
    <cellStyle name="Normal 8 4 8 7" xfId="37559"/>
    <cellStyle name="Normal 8 4 80" xfId="9901"/>
    <cellStyle name="Normal 8 4 80 2" xfId="16982"/>
    <cellStyle name="Normal 8 4 80 3" xfId="22099"/>
    <cellStyle name="Normal 8 4 80 4" xfId="27142"/>
    <cellStyle name="Normal 8 4 80 5" xfId="32103"/>
    <cellStyle name="Normal 8 4 80 6" xfId="36961"/>
    <cellStyle name="Normal 8 4 80 7" xfId="41692"/>
    <cellStyle name="Normal 8 4 81" xfId="9750"/>
    <cellStyle name="Normal 8 4 81 2" xfId="16831"/>
    <cellStyle name="Normal 8 4 81 3" xfId="21948"/>
    <cellStyle name="Normal 8 4 81 4" xfId="26991"/>
    <cellStyle name="Normal 8 4 81 5" xfId="31952"/>
    <cellStyle name="Normal 8 4 81 6" xfId="36810"/>
    <cellStyle name="Normal 8 4 81 7" xfId="41541"/>
    <cellStyle name="Normal 8 4 82" xfId="10151"/>
    <cellStyle name="Normal 8 4 82 2" xfId="17232"/>
    <cellStyle name="Normal 8 4 82 3" xfId="22349"/>
    <cellStyle name="Normal 8 4 82 4" xfId="27392"/>
    <cellStyle name="Normal 8 4 82 5" xfId="32353"/>
    <cellStyle name="Normal 8 4 82 6" xfId="37211"/>
    <cellStyle name="Normal 8 4 82 7" xfId="41942"/>
    <cellStyle name="Normal 8 4 83" xfId="10293"/>
    <cellStyle name="Normal 8 4 83 2" xfId="17374"/>
    <cellStyle name="Normal 8 4 83 3" xfId="22491"/>
    <cellStyle name="Normal 8 4 83 4" xfId="27534"/>
    <cellStyle name="Normal 8 4 83 5" xfId="32495"/>
    <cellStyle name="Normal 8 4 83 6" xfId="37353"/>
    <cellStyle name="Normal 8 4 83 7" xfId="42084"/>
    <cellStyle name="Normal 8 4 84" xfId="10272"/>
    <cellStyle name="Normal 8 4 84 2" xfId="17353"/>
    <cellStyle name="Normal 8 4 84 3" xfId="22470"/>
    <cellStyle name="Normal 8 4 84 4" xfId="27513"/>
    <cellStyle name="Normal 8 4 84 5" xfId="32474"/>
    <cellStyle name="Normal 8 4 84 6" xfId="37332"/>
    <cellStyle name="Normal 8 4 84 7" xfId="42063"/>
    <cellStyle name="Normal 8 4 85" xfId="10287"/>
    <cellStyle name="Normal 8 4 85 2" xfId="17368"/>
    <cellStyle name="Normal 8 4 85 3" xfId="22485"/>
    <cellStyle name="Normal 8 4 85 4" xfId="27528"/>
    <cellStyle name="Normal 8 4 85 5" xfId="32489"/>
    <cellStyle name="Normal 8 4 85 6" xfId="37347"/>
    <cellStyle name="Normal 8 4 85 7" xfId="42078"/>
    <cellStyle name="Normal 8 4 86" xfId="10231"/>
    <cellStyle name="Normal 8 4 86 2" xfId="17312"/>
    <cellStyle name="Normal 8 4 86 3" xfId="22429"/>
    <cellStyle name="Normal 8 4 86 4" xfId="27472"/>
    <cellStyle name="Normal 8 4 86 5" xfId="32433"/>
    <cellStyle name="Normal 8 4 86 6" xfId="37291"/>
    <cellStyle name="Normal 8 4 86 7" xfId="42022"/>
    <cellStyle name="Normal 8 4 87" xfId="10080"/>
    <cellStyle name="Normal 8 4 87 2" xfId="17161"/>
    <cellStyle name="Normal 8 4 87 3" xfId="22278"/>
    <cellStyle name="Normal 8 4 87 4" xfId="27321"/>
    <cellStyle name="Normal 8 4 87 5" xfId="32282"/>
    <cellStyle name="Normal 8 4 87 6" xfId="37140"/>
    <cellStyle name="Normal 8 4 87 7" xfId="41871"/>
    <cellStyle name="Normal 8 4 88" xfId="12467"/>
    <cellStyle name="Normal 8 4 89" xfId="13185"/>
    <cellStyle name="Normal 8 4 9" xfId="4615"/>
    <cellStyle name="Normal 8 4 9 2" xfId="5840"/>
    <cellStyle name="Normal 8 4 9 3" xfId="17940"/>
    <cellStyle name="Normal 8 4 9 4" xfId="22983"/>
    <cellStyle name="Normal 8 4 9 5" xfId="27944"/>
    <cellStyle name="Normal 8 4 9 6" xfId="32802"/>
    <cellStyle name="Normal 8 4 9 7" xfId="37533"/>
    <cellStyle name="Normal 8 4 90" xfId="11954"/>
    <cellStyle name="Normal 8 4 91" xfId="13524"/>
    <cellStyle name="Normal 8 4 92" xfId="14145"/>
    <cellStyle name="Normal 8 4 93" xfId="17850"/>
    <cellStyle name="Normal 8 5" xfId="2458"/>
    <cellStyle name="Normal 8 5 2" xfId="13005"/>
    <cellStyle name="Normal 8 5 3" xfId="13394"/>
    <cellStyle name="Normal 8 5 4" xfId="13069"/>
    <cellStyle name="Normal 8 5 5" xfId="14018"/>
    <cellStyle name="Normal 8 5 6" xfId="17737"/>
    <cellStyle name="Normal 8 5 7" xfId="22809"/>
    <cellStyle name="Normal 8 6" xfId="10385"/>
    <cellStyle name="Normal 8 7" xfId="10698"/>
    <cellStyle name="Normal 8 8" xfId="10982"/>
    <cellStyle name="Normal 8 9" xfId="11270"/>
    <cellStyle name="Normal 80" xfId="381"/>
    <cellStyle name="Normal 80 10" xfId="13854"/>
    <cellStyle name="Normal 80 11" xfId="17590"/>
    <cellStyle name="Normal 80 12" xfId="22684"/>
    <cellStyle name="Normal 80 2" xfId="405"/>
    <cellStyle name="Normal 80 2 10" xfId="13409"/>
    <cellStyle name="Normal 80 2 2" xfId="10616"/>
    <cellStyle name="Normal 80 2 3" xfId="10930"/>
    <cellStyle name="Normal 80 2 4" xfId="11214"/>
    <cellStyle name="Normal 80 2 5" xfId="11605"/>
    <cellStyle name="Normal 80 2 6" xfId="12487"/>
    <cellStyle name="Normal 80 2 7" xfId="11361"/>
    <cellStyle name="Normal 80 2 8" xfId="12127"/>
    <cellStyle name="Normal 80 2 9" xfId="12528"/>
    <cellStyle name="Normal 80 3" xfId="427"/>
    <cellStyle name="Normal 80 3 10" xfId="27681"/>
    <cellStyle name="Normal 80 3 2" xfId="10638"/>
    <cellStyle name="Normal 80 3 3" xfId="10952"/>
    <cellStyle name="Normal 80 3 4" xfId="11236"/>
    <cellStyle name="Normal 80 3 5" xfId="11627"/>
    <cellStyle name="Normal 80 3 6" xfId="12798"/>
    <cellStyle name="Normal 80 3 7" xfId="13821"/>
    <cellStyle name="Normal 80 3 8" xfId="17561"/>
    <cellStyle name="Normal 80 3 9" xfId="22658"/>
    <cellStyle name="Normal 80 4" xfId="10592"/>
    <cellStyle name="Normal 80 5" xfId="10906"/>
    <cellStyle name="Normal 80 6" xfId="11190"/>
    <cellStyle name="Normal 80 7" xfId="11581"/>
    <cellStyle name="Normal 80 8" xfId="12577"/>
    <cellStyle name="Normal 80 9" xfId="13386"/>
    <cellStyle name="Normal 81" xfId="380"/>
    <cellStyle name="Normal 81 10" xfId="22669"/>
    <cellStyle name="Normal 81 11" xfId="27689"/>
    <cellStyle name="Normal 81 12" xfId="32625"/>
    <cellStyle name="Normal 81 2" xfId="404"/>
    <cellStyle name="Normal 81 2 10" xfId="27750"/>
    <cellStyle name="Normal 81 2 2" xfId="10615"/>
    <cellStyle name="Normal 81 2 3" xfId="10929"/>
    <cellStyle name="Normal 81 2 4" xfId="11213"/>
    <cellStyle name="Normal 81 2 5" xfId="11604"/>
    <cellStyle name="Normal 81 2 6" xfId="12670"/>
    <cellStyle name="Normal 81 2 7" xfId="13933"/>
    <cellStyle name="Normal 81 2 8" xfId="17663"/>
    <cellStyle name="Normal 81 2 9" xfId="22745"/>
    <cellStyle name="Normal 81 3" xfId="426"/>
    <cellStyle name="Normal 81 3 10" xfId="12672"/>
    <cellStyle name="Normal 81 3 2" xfId="10637"/>
    <cellStyle name="Normal 81 3 3" xfId="10951"/>
    <cellStyle name="Normal 81 3 4" xfId="11235"/>
    <cellStyle name="Normal 81 3 5" xfId="11626"/>
    <cellStyle name="Normal 81 3 6" xfId="12648"/>
    <cellStyle name="Normal 81 3 7" xfId="11929"/>
    <cellStyle name="Normal 81 3 8" xfId="12210"/>
    <cellStyle name="Normal 81 3 9" xfId="12787"/>
    <cellStyle name="Normal 81 4" xfId="10591"/>
    <cellStyle name="Normal 81 5" xfId="10905"/>
    <cellStyle name="Normal 81 6" xfId="11189"/>
    <cellStyle name="Normal 81 7" xfId="11580"/>
    <cellStyle name="Normal 81 8" xfId="13834"/>
    <cellStyle name="Normal 81 9" xfId="17574"/>
    <cellStyle name="Normal 82" xfId="392"/>
    <cellStyle name="Normal 82 10" xfId="13800"/>
    <cellStyle name="Normal 82 11" xfId="17541"/>
    <cellStyle name="Normal 82 12" xfId="22639"/>
    <cellStyle name="Normal 82 2" xfId="406"/>
    <cellStyle name="Normal 82 2 10" xfId="13930"/>
    <cellStyle name="Normal 82 2 2" xfId="10617"/>
    <cellStyle name="Normal 82 2 3" xfId="10931"/>
    <cellStyle name="Normal 82 2 4" xfId="11215"/>
    <cellStyle name="Normal 82 2 5" xfId="11606"/>
    <cellStyle name="Normal 82 2 6" xfId="13346"/>
    <cellStyle name="Normal 82 2 7" xfId="12653"/>
    <cellStyle name="Normal 82 2 8" xfId="11691"/>
    <cellStyle name="Normal 82 2 9" xfId="12160"/>
    <cellStyle name="Normal 82 3" xfId="428"/>
    <cellStyle name="Normal 82 3 10" xfId="14113"/>
    <cellStyle name="Normal 82 3 2" xfId="10639"/>
    <cellStyle name="Normal 82 3 3" xfId="10953"/>
    <cellStyle name="Normal 82 3 4" xfId="11237"/>
    <cellStyle name="Normal 82 3 5" xfId="11628"/>
    <cellStyle name="Normal 82 3 6" xfId="13566"/>
    <cellStyle name="Normal 82 3 7" xfId="12991"/>
    <cellStyle name="Normal 82 3 8" xfId="12925"/>
    <cellStyle name="Normal 82 3 9" xfId="11924"/>
    <cellStyle name="Normal 82 4" xfId="10603"/>
    <cellStyle name="Normal 82 5" xfId="10917"/>
    <cellStyle name="Normal 82 6" xfId="11201"/>
    <cellStyle name="Normal 82 7" xfId="11592"/>
    <cellStyle name="Normal 82 8" xfId="12282"/>
    <cellStyle name="Normal 82 9" xfId="13098"/>
    <cellStyle name="Normal 83" xfId="676"/>
    <cellStyle name="Normal 83 10" xfId="13157"/>
    <cellStyle name="Normal 83 11" xfId="13876"/>
    <cellStyle name="Normal 83 12" xfId="17611"/>
    <cellStyle name="Normal 83 2" xfId="385"/>
    <cellStyle name="Normal 83 2 10" xfId="32638"/>
    <cellStyle name="Normal 83 2 2" xfId="10596"/>
    <cellStyle name="Normal 83 2 3" xfId="10910"/>
    <cellStyle name="Normal 83 2 4" xfId="11194"/>
    <cellStyle name="Normal 83 2 5" xfId="11585"/>
    <cellStyle name="Normal 83 2 6" xfId="13871"/>
    <cellStyle name="Normal 83 2 7" xfId="17606"/>
    <cellStyle name="Normal 83 2 8" xfId="22697"/>
    <cellStyle name="Normal 83 2 9" xfId="27712"/>
    <cellStyle name="Normal 83 3" xfId="190"/>
    <cellStyle name="Normal 83 3 10" xfId="32648"/>
    <cellStyle name="Normal 83 3 2" xfId="10392"/>
    <cellStyle name="Normal 83 3 3" xfId="10705"/>
    <cellStyle name="Normal 83 3 4" xfId="10989"/>
    <cellStyle name="Normal 83 3 5" xfId="11391"/>
    <cellStyle name="Normal 83 3 6" xfId="13901"/>
    <cellStyle name="Normal 83 3 7" xfId="17634"/>
    <cellStyle name="Normal 83 3 8" xfId="22720"/>
    <cellStyle name="Normal 83 3 9" xfId="27729"/>
    <cellStyle name="Normal 83 4" xfId="10387"/>
    <cellStyle name="Normal 83 5" xfId="10700"/>
    <cellStyle name="Normal 83 6" xfId="10984"/>
    <cellStyle name="Normal 83 7" xfId="11802"/>
    <cellStyle name="Normal 83 8" xfId="12267"/>
    <cellStyle name="Normal 83 9" xfId="12287"/>
    <cellStyle name="Normal 84" xfId="418"/>
    <cellStyle name="Normal 84 10" xfId="32717"/>
    <cellStyle name="Normal 84 2" xfId="10629"/>
    <cellStyle name="Normal 84 3" xfId="10943"/>
    <cellStyle name="Normal 84 4" xfId="11227"/>
    <cellStyle name="Normal 84 5" xfId="11618"/>
    <cellStyle name="Normal 84 6" xfId="14082"/>
    <cellStyle name="Normal 84 7" xfId="17796"/>
    <cellStyle name="Normal 84 8" xfId="22859"/>
    <cellStyle name="Normal 84 9" xfId="27837"/>
    <cellStyle name="Normal 85" xfId="414"/>
    <cellStyle name="Normal 85 10" xfId="12164"/>
    <cellStyle name="Normal 85 2" xfId="10625"/>
    <cellStyle name="Normal 85 3" xfId="10939"/>
    <cellStyle name="Normal 85 4" xfId="11223"/>
    <cellStyle name="Normal 85 5" xfId="11614"/>
    <cellStyle name="Normal 85 6" xfId="13384"/>
    <cellStyle name="Normal 85 7" xfId="12389"/>
    <cellStyle name="Normal 85 8" xfId="12387"/>
    <cellStyle name="Normal 85 9" xfId="12868"/>
    <cellStyle name="Normal 86" xfId="407"/>
    <cellStyle name="Normal 86 10" xfId="22701"/>
    <cellStyle name="Normal 86 2" xfId="10618"/>
    <cellStyle name="Normal 86 3" xfId="10932"/>
    <cellStyle name="Normal 86 4" xfId="11216"/>
    <cellStyle name="Normal 86 5" xfId="11607"/>
    <cellStyle name="Normal 86 6" xfId="13099"/>
    <cellStyle name="Normal 86 7" xfId="12464"/>
    <cellStyle name="Normal 86 8" xfId="13875"/>
    <cellStyle name="Normal 86 9" xfId="17610"/>
    <cellStyle name="Normal 87" xfId="396"/>
    <cellStyle name="Normal 87 10" xfId="11758"/>
    <cellStyle name="Normal 87 2" xfId="10607"/>
    <cellStyle name="Normal 87 3" xfId="10921"/>
    <cellStyle name="Normal 87 4" xfId="11205"/>
    <cellStyle name="Normal 87 5" xfId="11596"/>
    <cellStyle name="Normal 87 6" xfId="12849"/>
    <cellStyle name="Normal 87 7" xfId="12437"/>
    <cellStyle name="Normal 87 8" xfId="12954"/>
    <cellStyle name="Normal 87 9" xfId="13246"/>
    <cellStyle name="Normal 88" xfId="716"/>
    <cellStyle name="Normal 88 10" xfId="11381"/>
    <cellStyle name="Normal 88 2" xfId="10643"/>
    <cellStyle name="Normal 88 3" xfId="10957"/>
    <cellStyle name="Normal 88 4" xfId="11241"/>
    <cellStyle name="Normal 88 5" xfId="11827"/>
    <cellStyle name="Normal 88 6" xfId="12749"/>
    <cellStyle name="Normal 88 7" xfId="13037"/>
    <cellStyle name="Normal 88 8" xfId="13465"/>
    <cellStyle name="Normal 88 9" xfId="12312"/>
    <cellStyle name="Normal 89" xfId="413"/>
    <cellStyle name="Normal 89 10" xfId="13544"/>
    <cellStyle name="Normal 89 2" xfId="10624"/>
    <cellStyle name="Normal 89 3" xfId="10938"/>
    <cellStyle name="Normal 89 4" xfId="11222"/>
    <cellStyle name="Normal 89 5" xfId="11613"/>
    <cellStyle name="Normal 89 6" xfId="13669"/>
    <cellStyle name="Normal 89 7" xfId="13164"/>
    <cellStyle name="Normal 89 8" xfId="13593"/>
    <cellStyle name="Normal 89 9" xfId="11886"/>
    <cellStyle name="Normal 9" xfId="56"/>
    <cellStyle name="Normal 9 10" xfId="12367"/>
    <cellStyle name="Normal 9 11" xfId="13075"/>
    <cellStyle name="Normal 9 12" xfId="11274"/>
    <cellStyle name="Normal 9 13" xfId="13911"/>
    <cellStyle name="Normal 9 14" xfId="17644"/>
    <cellStyle name="Normal 9 2" xfId="1300"/>
    <cellStyle name="Normal 9 2 10" xfId="4554"/>
    <cellStyle name="Normal 9 2 10 2" xfId="5888"/>
    <cellStyle name="Normal 9 2 10 3" xfId="17988"/>
    <cellStyle name="Normal 9 2 10 4" xfId="23031"/>
    <cellStyle name="Normal 9 2 10 5" xfId="27992"/>
    <cellStyle name="Normal 9 2 10 6" xfId="32850"/>
    <cellStyle name="Normal 9 2 10 7" xfId="37581"/>
    <cellStyle name="Normal 9 2 11" xfId="4510"/>
    <cellStyle name="Normal 9 2 11 2" xfId="5810"/>
    <cellStyle name="Normal 9 2 11 3" xfId="17907"/>
    <cellStyle name="Normal 9 2 11 4" xfId="22950"/>
    <cellStyle name="Normal 9 2 11 5" xfId="27911"/>
    <cellStyle name="Normal 9 2 11 6" xfId="32769"/>
    <cellStyle name="Normal 9 2 11 7" xfId="37500"/>
    <cellStyle name="Normal 9 2 12" xfId="4669"/>
    <cellStyle name="Normal 9 2 12 2" xfId="5979"/>
    <cellStyle name="Normal 9 2 12 3" xfId="18082"/>
    <cellStyle name="Normal 9 2 12 4" xfId="23125"/>
    <cellStyle name="Normal 9 2 12 5" xfId="28086"/>
    <cellStyle name="Normal 9 2 12 6" xfId="32944"/>
    <cellStyle name="Normal 9 2 12 7" xfId="37675"/>
    <cellStyle name="Normal 9 2 13" xfId="4789"/>
    <cellStyle name="Normal 9 2 13 2" xfId="6052"/>
    <cellStyle name="Normal 9 2 13 3" xfId="18156"/>
    <cellStyle name="Normal 9 2 13 4" xfId="23199"/>
    <cellStyle name="Normal 9 2 13 5" xfId="28160"/>
    <cellStyle name="Normal 9 2 13 6" xfId="33018"/>
    <cellStyle name="Normal 9 2 13 7" xfId="37749"/>
    <cellStyle name="Normal 9 2 14" xfId="4829"/>
    <cellStyle name="Normal 9 2 14 2" xfId="6140"/>
    <cellStyle name="Normal 9 2 14 3" xfId="18244"/>
    <cellStyle name="Normal 9 2 14 4" xfId="23287"/>
    <cellStyle name="Normal 9 2 14 5" xfId="28248"/>
    <cellStyle name="Normal 9 2 14 6" xfId="33106"/>
    <cellStyle name="Normal 9 2 14 7" xfId="37837"/>
    <cellStyle name="Normal 9 2 15" xfId="4830"/>
    <cellStyle name="Normal 9 2 15 2" xfId="6114"/>
    <cellStyle name="Normal 9 2 15 3" xfId="18218"/>
    <cellStyle name="Normal 9 2 15 4" xfId="23261"/>
    <cellStyle name="Normal 9 2 15 5" xfId="28222"/>
    <cellStyle name="Normal 9 2 15 6" xfId="33080"/>
    <cellStyle name="Normal 9 2 15 7" xfId="37811"/>
    <cellStyle name="Normal 9 2 16" xfId="4781"/>
    <cellStyle name="Normal 9 2 16 2" xfId="5947"/>
    <cellStyle name="Normal 9 2 16 3" xfId="18049"/>
    <cellStyle name="Normal 9 2 16 4" xfId="23092"/>
    <cellStyle name="Normal 9 2 16 5" xfId="28053"/>
    <cellStyle name="Normal 9 2 16 6" xfId="32911"/>
    <cellStyle name="Normal 9 2 16 7" xfId="37642"/>
    <cellStyle name="Normal 9 2 17" xfId="5006"/>
    <cellStyle name="Normal 9 2 17 2" xfId="6404"/>
    <cellStyle name="Normal 9 2 17 3" xfId="18514"/>
    <cellStyle name="Normal 9 2 17 4" xfId="23557"/>
    <cellStyle name="Normal 9 2 17 5" xfId="28518"/>
    <cellStyle name="Normal 9 2 17 6" xfId="33376"/>
    <cellStyle name="Normal 9 2 17 7" xfId="38107"/>
    <cellStyle name="Normal 9 2 18" xfId="5049"/>
    <cellStyle name="Normal 9 2 18 2" xfId="6463"/>
    <cellStyle name="Normal 9 2 18 3" xfId="18573"/>
    <cellStyle name="Normal 9 2 18 4" xfId="23616"/>
    <cellStyle name="Normal 9 2 18 5" xfId="28577"/>
    <cellStyle name="Normal 9 2 18 6" xfId="33435"/>
    <cellStyle name="Normal 9 2 18 7" xfId="38166"/>
    <cellStyle name="Normal 9 2 19" xfId="5059"/>
    <cellStyle name="Normal 9 2 19 2" xfId="6338"/>
    <cellStyle name="Normal 9 2 19 3" xfId="18446"/>
    <cellStyle name="Normal 9 2 19 4" xfId="23489"/>
    <cellStyle name="Normal 9 2 19 5" xfId="28450"/>
    <cellStyle name="Normal 9 2 19 6" xfId="33308"/>
    <cellStyle name="Normal 9 2 19 7" xfId="38039"/>
    <cellStyle name="Normal 9 2 2" xfId="1321"/>
    <cellStyle name="Normal 9 2 2 2" xfId="2478"/>
    <cellStyle name="Normal 9 2 2 2 10" xfId="4549"/>
    <cellStyle name="Normal 9 2 2 2 10 2" xfId="6471"/>
    <cellStyle name="Normal 9 2 2 2 10 3" xfId="18581"/>
    <cellStyle name="Normal 9 2 2 2 10 4" xfId="23624"/>
    <cellStyle name="Normal 9 2 2 2 10 5" xfId="28585"/>
    <cellStyle name="Normal 9 2 2 2 10 6" xfId="33443"/>
    <cellStyle name="Normal 9 2 2 2 10 7" xfId="38174"/>
    <cellStyle name="Normal 9 2 2 2 11" xfId="4691"/>
    <cellStyle name="Normal 9 2 2 2 11 2" xfId="6410"/>
    <cellStyle name="Normal 9 2 2 2 11 3" xfId="18520"/>
    <cellStyle name="Normal 9 2 2 2 11 4" xfId="23563"/>
    <cellStyle name="Normal 9 2 2 2 11 5" xfId="28524"/>
    <cellStyle name="Normal 9 2 2 2 11 6" xfId="33382"/>
    <cellStyle name="Normal 9 2 2 2 11 7" xfId="38113"/>
    <cellStyle name="Normal 9 2 2 2 12" xfId="4847"/>
    <cellStyle name="Normal 9 2 2 2 12 2" xfId="6132"/>
    <cellStyle name="Normal 9 2 2 2 12 3" xfId="18236"/>
    <cellStyle name="Normal 9 2 2 2 12 4" xfId="23279"/>
    <cellStyle name="Normal 9 2 2 2 12 5" xfId="28240"/>
    <cellStyle name="Normal 9 2 2 2 12 6" xfId="33098"/>
    <cellStyle name="Normal 9 2 2 2 12 7" xfId="37829"/>
    <cellStyle name="Normal 9 2 2 2 13" xfId="4882"/>
    <cellStyle name="Normal 9 2 2 2 13 2" xfId="6025"/>
    <cellStyle name="Normal 9 2 2 2 13 3" xfId="18129"/>
    <cellStyle name="Normal 9 2 2 2 13 4" xfId="23172"/>
    <cellStyle name="Normal 9 2 2 2 13 5" xfId="28133"/>
    <cellStyle name="Normal 9 2 2 2 13 6" xfId="32991"/>
    <cellStyle name="Normal 9 2 2 2 13 7" xfId="37722"/>
    <cellStyle name="Normal 9 2 2 2 14" xfId="4870"/>
    <cellStyle name="Normal 9 2 2 2 14 2" xfId="6178"/>
    <cellStyle name="Normal 9 2 2 2 14 3" xfId="18282"/>
    <cellStyle name="Normal 9 2 2 2 14 4" xfId="23325"/>
    <cellStyle name="Normal 9 2 2 2 14 5" xfId="28286"/>
    <cellStyle name="Normal 9 2 2 2 14 6" xfId="33144"/>
    <cellStyle name="Normal 9 2 2 2 14 7" xfId="37875"/>
    <cellStyle name="Normal 9 2 2 2 15" xfId="4835"/>
    <cellStyle name="Normal 9 2 2 2 15 2" xfId="5948"/>
    <cellStyle name="Normal 9 2 2 2 15 3" xfId="18050"/>
    <cellStyle name="Normal 9 2 2 2 15 4" xfId="23093"/>
    <cellStyle name="Normal 9 2 2 2 15 5" xfId="28054"/>
    <cellStyle name="Normal 9 2 2 2 15 6" xfId="32912"/>
    <cellStyle name="Normal 9 2 2 2 15 7" xfId="37643"/>
    <cellStyle name="Normal 9 2 2 2 16" xfId="5072"/>
    <cellStyle name="Normal 9 2 2 2 16 2" xfId="6376"/>
    <cellStyle name="Normal 9 2 2 2 16 3" xfId="18485"/>
    <cellStyle name="Normal 9 2 2 2 16 4" xfId="23528"/>
    <cellStyle name="Normal 9 2 2 2 16 5" xfId="28489"/>
    <cellStyle name="Normal 9 2 2 2 16 6" xfId="33347"/>
    <cellStyle name="Normal 9 2 2 2 16 7" xfId="38078"/>
    <cellStyle name="Normal 9 2 2 2 17" xfId="5107"/>
    <cellStyle name="Normal 9 2 2 2 17 2" xfId="6307"/>
    <cellStyle name="Normal 9 2 2 2 17 3" xfId="18415"/>
    <cellStyle name="Normal 9 2 2 2 17 4" xfId="23458"/>
    <cellStyle name="Normal 9 2 2 2 17 5" xfId="28419"/>
    <cellStyle name="Normal 9 2 2 2 17 6" xfId="33277"/>
    <cellStyle name="Normal 9 2 2 2 17 7" xfId="38008"/>
    <cellStyle name="Normal 9 2 2 2 18" xfId="5099"/>
    <cellStyle name="Normal 9 2 2 2 18 2" xfId="6259"/>
    <cellStyle name="Normal 9 2 2 2 18 3" xfId="18363"/>
    <cellStyle name="Normal 9 2 2 2 18 4" xfId="23406"/>
    <cellStyle name="Normal 9 2 2 2 18 5" xfId="28367"/>
    <cellStyle name="Normal 9 2 2 2 18 6" xfId="33225"/>
    <cellStyle name="Normal 9 2 2 2 18 7" xfId="37956"/>
    <cellStyle name="Normal 9 2 2 2 19" xfId="5052"/>
    <cellStyle name="Normal 9 2 2 2 19 2" xfId="6767"/>
    <cellStyle name="Normal 9 2 2 2 19 3" xfId="18888"/>
    <cellStyle name="Normal 9 2 2 2 19 4" xfId="23931"/>
    <cellStyle name="Normal 9 2 2 2 19 5" xfId="28892"/>
    <cellStyle name="Normal 9 2 2 2 19 6" xfId="33750"/>
    <cellStyle name="Normal 9 2 2 2 19 7" xfId="38481"/>
    <cellStyle name="Normal 9 2 2 2 2" xfId="2496"/>
    <cellStyle name="Normal 9 2 2 2 2 2" xfId="13043"/>
    <cellStyle name="Normal 9 2 2 2 2 3" xfId="12642"/>
    <cellStyle name="Normal 9 2 2 2 2 4" xfId="11298"/>
    <cellStyle name="Normal 9 2 2 2 2 5" xfId="11717"/>
    <cellStyle name="Normal 9 2 2 2 2 6" xfId="12699"/>
    <cellStyle name="Normal 9 2 2 2 2 7" xfId="12029"/>
    <cellStyle name="Normal 9 2 2 2 20" xfId="5425"/>
    <cellStyle name="Normal 9 2 2 2 20 2" xfId="6801"/>
    <cellStyle name="Normal 9 2 2 2 20 3" xfId="18922"/>
    <cellStyle name="Normal 9 2 2 2 20 4" xfId="23965"/>
    <cellStyle name="Normal 9 2 2 2 20 5" xfId="28926"/>
    <cellStyle name="Normal 9 2 2 2 20 6" xfId="33784"/>
    <cellStyle name="Normal 9 2 2 2 20 7" xfId="38515"/>
    <cellStyle name="Normal 9 2 2 2 21" xfId="5484"/>
    <cellStyle name="Normal 9 2 2 2 21 2" xfId="6789"/>
    <cellStyle name="Normal 9 2 2 2 21 3" xfId="18910"/>
    <cellStyle name="Normal 9 2 2 2 21 4" xfId="23953"/>
    <cellStyle name="Normal 9 2 2 2 21 5" xfId="28914"/>
    <cellStyle name="Normal 9 2 2 2 21 6" xfId="33772"/>
    <cellStyle name="Normal 9 2 2 2 21 7" xfId="38503"/>
    <cellStyle name="Normal 9 2 2 2 22" xfId="5455"/>
    <cellStyle name="Normal 9 2 2 2 22 2" xfId="6752"/>
    <cellStyle name="Normal 9 2 2 2 22 3" xfId="18873"/>
    <cellStyle name="Normal 9 2 2 2 22 4" xfId="23916"/>
    <cellStyle name="Normal 9 2 2 2 22 5" xfId="28877"/>
    <cellStyle name="Normal 9 2 2 2 22 6" xfId="33735"/>
    <cellStyle name="Normal 9 2 2 2 22 7" xfId="38466"/>
    <cellStyle name="Normal 9 2 2 2 23" xfId="5396"/>
    <cellStyle name="Normal 9 2 2 2 23 2" xfId="7169"/>
    <cellStyle name="Normal 9 2 2 2 23 3" xfId="19324"/>
    <cellStyle name="Normal 9 2 2 2 23 4" xfId="24367"/>
    <cellStyle name="Normal 9 2 2 2 23 5" xfId="29328"/>
    <cellStyle name="Normal 9 2 2 2 23 6" xfId="34186"/>
    <cellStyle name="Normal 9 2 2 2 23 7" xfId="38917"/>
    <cellStyle name="Normal 9 2 2 2 24" xfId="5578"/>
    <cellStyle name="Normal 9 2 2 2 24 2" xfId="7237"/>
    <cellStyle name="Normal 9 2 2 2 24 3" xfId="19398"/>
    <cellStyle name="Normal 9 2 2 2 24 4" xfId="24441"/>
    <cellStyle name="Normal 9 2 2 2 24 5" xfId="29402"/>
    <cellStyle name="Normal 9 2 2 2 24 6" xfId="34260"/>
    <cellStyle name="Normal 9 2 2 2 24 7" xfId="38991"/>
    <cellStyle name="Normal 9 2 2 2 25" xfId="5318"/>
    <cellStyle name="Normal 9 2 2 2 25 2" xfId="7203"/>
    <cellStyle name="Normal 9 2 2 2 25 3" xfId="19359"/>
    <cellStyle name="Normal 9 2 2 2 25 4" xfId="24402"/>
    <cellStyle name="Normal 9 2 2 2 25 5" xfId="29363"/>
    <cellStyle name="Normal 9 2 2 2 25 6" xfId="34221"/>
    <cellStyle name="Normal 9 2 2 2 25 7" xfId="38952"/>
    <cellStyle name="Normal 9 2 2 2 26" xfId="5278"/>
    <cellStyle name="Normal 9 2 2 2 26 2" xfId="7139"/>
    <cellStyle name="Normal 9 2 2 2 26 3" xfId="19291"/>
    <cellStyle name="Normal 9 2 2 2 26 4" xfId="24334"/>
    <cellStyle name="Normal 9 2 2 2 26 5" xfId="29295"/>
    <cellStyle name="Normal 9 2 2 2 26 6" xfId="34153"/>
    <cellStyle name="Normal 9 2 2 2 26 7" xfId="38884"/>
    <cellStyle name="Normal 9 2 2 2 27" xfId="5574"/>
    <cellStyle name="Normal 9 2 2 2 27 2" xfId="7342"/>
    <cellStyle name="Normal 9 2 2 2 27 3" xfId="19515"/>
    <cellStyle name="Normal 9 2 2 2 27 4" xfId="24558"/>
    <cellStyle name="Normal 9 2 2 2 27 5" xfId="29519"/>
    <cellStyle name="Normal 9 2 2 2 27 6" xfId="34377"/>
    <cellStyle name="Normal 9 2 2 2 27 7" xfId="39108"/>
    <cellStyle name="Normal 9 2 2 2 28" xfId="5491"/>
    <cellStyle name="Normal 9 2 2 2 28 2" xfId="7032"/>
    <cellStyle name="Normal 9 2 2 2 28 3" xfId="19172"/>
    <cellStyle name="Normal 9 2 2 2 28 4" xfId="24215"/>
    <cellStyle name="Normal 9 2 2 2 28 5" xfId="29176"/>
    <cellStyle name="Normal 9 2 2 2 28 6" xfId="34034"/>
    <cellStyle name="Normal 9 2 2 2 28 7" xfId="38765"/>
    <cellStyle name="Normal 9 2 2 2 29" xfId="5777"/>
    <cellStyle name="Normal 9 2 2 2 29 2" xfId="14279"/>
    <cellStyle name="Normal 9 2 2 2 29 3" xfId="19116"/>
    <cellStyle name="Normal 9 2 2 2 29 4" xfId="24159"/>
    <cellStyle name="Normal 9 2 2 2 29 5" xfId="29120"/>
    <cellStyle name="Normal 9 2 2 2 29 6" xfId="33978"/>
    <cellStyle name="Normal 9 2 2 2 29 7" xfId="38709"/>
    <cellStyle name="Normal 9 2 2 2 3" xfId="4291"/>
    <cellStyle name="Normal 9 2 2 2 3 2" xfId="6203"/>
    <cellStyle name="Normal 9 2 2 2 3 3" xfId="18307"/>
    <cellStyle name="Normal 9 2 2 2 3 4" xfId="23350"/>
    <cellStyle name="Normal 9 2 2 2 3 5" xfId="28311"/>
    <cellStyle name="Normal 9 2 2 2 3 6" xfId="33169"/>
    <cellStyle name="Normal 9 2 2 2 3 7" xfId="37900"/>
    <cellStyle name="Normal 9 2 2 2 30" xfId="7351"/>
    <cellStyle name="Normal 9 2 2 2 30 2" xfId="14471"/>
    <cellStyle name="Normal 9 2 2 2 30 3" xfId="19524"/>
    <cellStyle name="Normal 9 2 2 2 30 4" xfId="24567"/>
    <cellStyle name="Normal 9 2 2 2 30 5" xfId="29528"/>
    <cellStyle name="Normal 9 2 2 2 30 6" xfId="34386"/>
    <cellStyle name="Normal 9 2 2 2 30 7" xfId="39117"/>
    <cellStyle name="Normal 9 2 2 2 31" xfId="7312"/>
    <cellStyle name="Normal 9 2 2 2 31 2" xfId="14449"/>
    <cellStyle name="Normal 9 2 2 2 31 3" xfId="19482"/>
    <cellStyle name="Normal 9 2 2 2 31 4" xfId="24525"/>
    <cellStyle name="Normal 9 2 2 2 31 5" xfId="29486"/>
    <cellStyle name="Normal 9 2 2 2 31 6" xfId="34344"/>
    <cellStyle name="Normal 9 2 2 2 31 7" xfId="39075"/>
    <cellStyle name="Normal 9 2 2 2 32" xfId="7120"/>
    <cellStyle name="Normal 9 2 2 2 32 2" xfId="14355"/>
    <cellStyle name="Normal 9 2 2 2 32 3" xfId="19268"/>
    <cellStyle name="Normal 9 2 2 2 32 4" xfId="24311"/>
    <cellStyle name="Normal 9 2 2 2 32 5" xfId="29272"/>
    <cellStyle name="Normal 9 2 2 2 32 6" xfId="34130"/>
    <cellStyle name="Normal 9 2 2 2 32 7" xfId="38861"/>
    <cellStyle name="Normal 9 2 2 2 33" xfId="7041"/>
    <cellStyle name="Normal 9 2 2 2 33 2" xfId="14311"/>
    <cellStyle name="Normal 9 2 2 2 33 3" xfId="19182"/>
    <cellStyle name="Normal 9 2 2 2 33 4" xfId="24225"/>
    <cellStyle name="Normal 9 2 2 2 33 5" xfId="29186"/>
    <cellStyle name="Normal 9 2 2 2 33 6" xfId="34044"/>
    <cellStyle name="Normal 9 2 2 2 33 7" xfId="38775"/>
    <cellStyle name="Normal 9 2 2 2 34" xfId="7150"/>
    <cellStyle name="Normal 9 2 2 2 34 2" xfId="14372"/>
    <cellStyle name="Normal 9 2 2 2 34 3" xfId="19302"/>
    <cellStyle name="Normal 9 2 2 2 34 4" xfId="24345"/>
    <cellStyle name="Normal 9 2 2 2 34 5" xfId="29306"/>
    <cellStyle name="Normal 9 2 2 2 34 6" xfId="34164"/>
    <cellStyle name="Normal 9 2 2 2 34 7" xfId="38895"/>
    <cellStyle name="Normal 9 2 2 2 35" xfId="7830"/>
    <cellStyle name="Normal 9 2 2 2 35 2" xfId="14910"/>
    <cellStyle name="Normal 9 2 2 2 35 3" xfId="20027"/>
    <cellStyle name="Normal 9 2 2 2 35 4" xfId="25070"/>
    <cellStyle name="Normal 9 2 2 2 35 5" xfId="30031"/>
    <cellStyle name="Normal 9 2 2 2 35 6" xfId="34889"/>
    <cellStyle name="Normal 9 2 2 2 35 7" xfId="39620"/>
    <cellStyle name="Normal 9 2 2 2 36" xfId="7914"/>
    <cellStyle name="Normal 9 2 2 2 36 2" xfId="14994"/>
    <cellStyle name="Normal 9 2 2 2 36 3" xfId="20111"/>
    <cellStyle name="Normal 9 2 2 2 36 4" xfId="25154"/>
    <cellStyle name="Normal 9 2 2 2 36 5" xfId="30115"/>
    <cellStyle name="Normal 9 2 2 2 36 6" xfId="34973"/>
    <cellStyle name="Normal 9 2 2 2 36 7" xfId="39704"/>
    <cellStyle name="Normal 9 2 2 2 37" xfId="7867"/>
    <cellStyle name="Normal 9 2 2 2 37 2" xfId="14947"/>
    <cellStyle name="Normal 9 2 2 2 37 3" xfId="20064"/>
    <cellStyle name="Normal 9 2 2 2 37 4" xfId="25107"/>
    <cellStyle name="Normal 9 2 2 2 37 5" xfId="30068"/>
    <cellStyle name="Normal 9 2 2 2 37 6" xfId="34926"/>
    <cellStyle name="Normal 9 2 2 2 37 7" xfId="39657"/>
    <cellStyle name="Normal 9 2 2 2 38" xfId="7793"/>
    <cellStyle name="Normal 9 2 2 2 38 2" xfId="14873"/>
    <cellStyle name="Normal 9 2 2 2 38 3" xfId="19990"/>
    <cellStyle name="Normal 9 2 2 2 38 4" xfId="25033"/>
    <cellStyle name="Normal 9 2 2 2 38 5" xfId="29994"/>
    <cellStyle name="Normal 9 2 2 2 38 6" xfId="34852"/>
    <cellStyle name="Normal 9 2 2 2 38 7" xfId="39583"/>
    <cellStyle name="Normal 9 2 2 2 39" xfId="8060"/>
    <cellStyle name="Normal 9 2 2 2 39 2" xfId="15140"/>
    <cellStyle name="Normal 9 2 2 2 39 3" xfId="20257"/>
    <cellStyle name="Normal 9 2 2 2 39 4" xfId="25300"/>
    <cellStyle name="Normal 9 2 2 2 39 5" xfId="30261"/>
    <cellStyle name="Normal 9 2 2 2 39 6" xfId="35119"/>
    <cellStyle name="Normal 9 2 2 2 39 7" xfId="39850"/>
    <cellStyle name="Normal 9 2 2 2 4" xfId="4312"/>
    <cellStyle name="Normal 9 2 2 2 4 2" xfId="6296"/>
    <cellStyle name="Normal 9 2 2 2 4 3" xfId="18403"/>
    <cellStyle name="Normal 9 2 2 2 4 4" xfId="23446"/>
    <cellStyle name="Normal 9 2 2 2 4 5" xfId="28407"/>
    <cellStyle name="Normal 9 2 2 2 4 6" xfId="33265"/>
    <cellStyle name="Normal 9 2 2 2 4 7" xfId="37996"/>
    <cellStyle name="Normal 9 2 2 2 40" xfId="7661"/>
    <cellStyle name="Normal 9 2 2 2 40 2" xfId="14741"/>
    <cellStyle name="Normal 9 2 2 2 40 3" xfId="19858"/>
    <cellStyle name="Normal 9 2 2 2 40 4" xfId="24901"/>
    <cellStyle name="Normal 9 2 2 2 40 5" xfId="29862"/>
    <cellStyle name="Normal 9 2 2 2 40 6" xfId="34720"/>
    <cellStyle name="Normal 9 2 2 2 40 7" xfId="39451"/>
    <cellStyle name="Normal 9 2 2 2 41" xfId="7596"/>
    <cellStyle name="Normal 9 2 2 2 41 2" xfId="14676"/>
    <cellStyle name="Normal 9 2 2 2 41 3" xfId="19793"/>
    <cellStyle name="Normal 9 2 2 2 41 4" xfId="24836"/>
    <cellStyle name="Normal 9 2 2 2 41 5" xfId="29797"/>
    <cellStyle name="Normal 9 2 2 2 41 6" xfId="34655"/>
    <cellStyle name="Normal 9 2 2 2 41 7" xfId="39386"/>
    <cellStyle name="Normal 9 2 2 2 42" xfId="8072"/>
    <cellStyle name="Normal 9 2 2 2 42 2" xfId="15152"/>
    <cellStyle name="Normal 9 2 2 2 42 3" xfId="20269"/>
    <cellStyle name="Normal 9 2 2 2 42 4" xfId="25312"/>
    <cellStyle name="Normal 9 2 2 2 42 5" xfId="30273"/>
    <cellStyle name="Normal 9 2 2 2 42 6" xfId="35131"/>
    <cellStyle name="Normal 9 2 2 2 42 7" xfId="39862"/>
    <cellStyle name="Normal 9 2 2 2 43" xfId="8019"/>
    <cellStyle name="Normal 9 2 2 2 43 2" xfId="15099"/>
    <cellStyle name="Normal 9 2 2 2 43 3" xfId="20216"/>
    <cellStyle name="Normal 9 2 2 2 43 4" xfId="25259"/>
    <cellStyle name="Normal 9 2 2 2 43 5" xfId="30220"/>
    <cellStyle name="Normal 9 2 2 2 43 6" xfId="35078"/>
    <cellStyle name="Normal 9 2 2 2 43 7" xfId="39809"/>
    <cellStyle name="Normal 9 2 2 2 44" xfId="7768"/>
    <cellStyle name="Normal 9 2 2 2 44 2" xfId="14848"/>
    <cellStyle name="Normal 9 2 2 2 44 3" xfId="19965"/>
    <cellStyle name="Normal 9 2 2 2 44 4" xfId="25008"/>
    <cellStyle name="Normal 9 2 2 2 44 5" xfId="29969"/>
    <cellStyle name="Normal 9 2 2 2 44 6" xfId="34827"/>
    <cellStyle name="Normal 9 2 2 2 44 7" xfId="39558"/>
    <cellStyle name="Normal 9 2 2 2 45" xfId="7672"/>
    <cellStyle name="Normal 9 2 2 2 45 2" xfId="14752"/>
    <cellStyle name="Normal 9 2 2 2 45 3" xfId="19869"/>
    <cellStyle name="Normal 9 2 2 2 45 4" xfId="24912"/>
    <cellStyle name="Normal 9 2 2 2 45 5" xfId="29873"/>
    <cellStyle name="Normal 9 2 2 2 45 6" xfId="34731"/>
    <cellStyle name="Normal 9 2 2 2 45 7" xfId="39462"/>
    <cellStyle name="Normal 9 2 2 2 46" xfId="7807"/>
    <cellStyle name="Normal 9 2 2 2 46 2" xfId="14887"/>
    <cellStyle name="Normal 9 2 2 2 46 3" xfId="20004"/>
    <cellStyle name="Normal 9 2 2 2 46 4" xfId="25047"/>
    <cellStyle name="Normal 9 2 2 2 46 5" xfId="30008"/>
    <cellStyle name="Normal 9 2 2 2 46 6" xfId="34866"/>
    <cellStyle name="Normal 9 2 2 2 46 7" xfId="39597"/>
    <cellStyle name="Normal 9 2 2 2 47" xfId="7603"/>
    <cellStyle name="Normal 9 2 2 2 47 2" xfId="14683"/>
    <cellStyle name="Normal 9 2 2 2 47 3" xfId="19800"/>
    <cellStyle name="Normal 9 2 2 2 47 4" xfId="24843"/>
    <cellStyle name="Normal 9 2 2 2 47 5" xfId="29804"/>
    <cellStyle name="Normal 9 2 2 2 47 6" xfId="34662"/>
    <cellStyle name="Normal 9 2 2 2 47 7" xfId="39393"/>
    <cellStyle name="Normal 9 2 2 2 48" xfId="7984"/>
    <cellStyle name="Normal 9 2 2 2 48 2" xfId="15064"/>
    <cellStyle name="Normal 9 2 2 2 48 3" xfId="20181"/>
    <cellStyle name="Normal 9 2 2 2 48 4" xfId="25224"/>
    <cellStyle name="Normal 9 2 2 2 48 5" xfId="30185"/>
    <cellStyle name="Normal 9 2 2 2 48 6" xfId="35043"/>
    <cellStyle name="Normal 9 2 2 2 48 7" xfId="39774"/>
    <cellStyle name="Normal 9 2 2 2 49" xfId="8626"/>
    <cellStyle name="Normal 9 2 2 2 49 2" xfId="15707"/>
    <cellStyle name="Normal 9 2 2 2 49 3" xfId="20824"/>
    <cellStyle name="Normal 9 2 2 2 49 4" xfId="25867"/>
    <cellStyle name="Normal 9 2 2 2 49 5" xfId="30828"/>
    <cellStyle name="Normal 9 2 2 2 49 6" xfId="35686"/>
    <cellStyle name="Normal 9 2 2 2 49 7" xfId="40417"/>
    <cellStyle name="Normal 9 2 2 2 5" xfId="4327"/>
    <cellStyle name="Normal 9 2 2 2 5 2" xfId="6244"/>
    <cellStyle name="Normal 9 2 2 2 5 3" xfId="18348"/>
    <cellStyle name="Normal 9 2 2 2 5 4" xfId="23391"/>
    <cellStyle name="Normal 9 2 2 2 5 5" xfId="28352"/>
    <cellStyle name="Normal 9 2 2 2 5 6" xfId="33210"/>
    <cellStyle name="Normal 9 2 2 2 5 7" xfId="37941"/>
    <cellStyle name="Normal 9 2 2 2 50" xfId="8714"/>
    <cellStyle name="Normal 9 2 2 2 50 2" xfId="15795"/>
    <cellStyle name="Normal 9 2 2 2 50 3" xfId="20912"/>
    <cellStyle name="Normal 9 2 2 2 50 4" xfId="25955"/>
    <cellStyle name="Normal 9 2 2 2 50 5" xfId="30916"/>
    <cellStyle name="Normal 9 2 2 2 50 6" xfId="35774"/>
    <cellStyle name="Normal 9 2 2 2 50 7" xfId="40505"/>
    <cellStyle name="Normal 9 2 2 2 51" xfId="8667"/>
    <cellStyle name="Normal 9 2 2 2 51 2" xfId="15748"/>
    <cellStyle name="Normal 9 2 2 2 51 3" xfId="20865"/>
    <cellStyle name="Normal 9 2 2 2 51 4" xfId="25908"/>
    <cellStyle name="Normal 9 2 2 2 51 5" xfId="30869"/>
    <cellStyle name="Normal 9 2 2 2 51 6" xfId="35727"/>
    <cellStyle name="Normal 9 2 2 2 51 7" xfId="40458"/>
    <cellStyle name="Normal 9 2 2 2 52" xfId="8577"/>
    <cellStyle name="Normal 9 2 2 2 52 2" xfId="15658"/>
    <cellStyle name="Normal 9 2 2 2 52 3" xfId="20775"/>
    <cellStyle name="Normal 9 2 2 2 52 4" xfId="25818"/>
    <cellStyle name="Normal 9 2 2 2 52 5" xfId="30779"/>
    <cellStyle name="Normal 9 2 2 2 52 6" xfId="35637"/>
    <cellStyle name="Normal 9 2 2 2 52 7" xfId="40368"/>
    <cellStyle name="Normal 9 2 2 2 53" xfId="8861"/>
    <cellStyle name="Normal 9 2 2 2 53 2" xfId="15942"/>
    <cellStyle name="Normal 9 2 2 2 53 3" xfId="21059"/>
    <cellStyle name="Normal 9 2 2 2 53 4" xfId="26102"/>
    <cellStyle name="Normal 9 2 2 2 53 5" xfId="31063"/>
    <cellStyle name="Normal 9 2 2 2 53 6" xfId="35921"/>
    <cellStyle name="Normal 9 2 2 2 53 7" xfId="40652"/>
    <cellStyle name="Normal 9 2 2 2 54" xfId="8440"/>
    <cellStyle name="Normal 9 2 2 2 54 2" xfId="15521"/>
    <cellStyle name="Normal 9 2 2 2 54 3" xfId="20638"/>
    <cellStyle name="Normal 9 2 2 2 54 4" xfId="25681"/>
    <cellStyle name="Normal 9 2 2 2 54 5" xfId="30642"/>
    <cellStyle name="Normal 9 2 2 2 54 6" xfId="35500"/>
    <cellStyle name="Normal 9 2 2 2 54 7" xfId="40231"/>
    <cellStyle name="Normal 9 2 2 2 55" xfId="8379"/>
    <cellStyle name="Normal 9 2 2 2 55 2" xfId="15460"/>
    <cellStyle name="Normal 9 2 2 2 55 3" xfId="20577"/>
    <cellStyle name="Normal 9 2 2 2 55 4" xfId="25620"/>
    <cellStyle name="Normal 9 2 2 2 55 5" xfId="30581"/>
    <cellStyle name="Normal 9 2 2 2 55 6" xfId="35439"/>
    <cellStyle name="Normal 9 2 2 2 55 7" xfId="40170"/>
    <cellStyle name="Normal 9 2 2 2 56" xfId="8323"/>
    <cellStyle name="Normal 9 2 2 2 56 2" xfId="15404"/>
    <cellStyle name="Normal 9 2 2 2 56 3" xfId="20521"/>
    <cellStyle name="Normal 9 2 2 2 56 4" xfId="25564"/>
    <cellStyle name="Normal 9 2 2 2 56 5" xfId="30525"/>
    <cellStyle name="Normal 9 2 2 2 56 6" xfId="35383"/>
    <cellStyle name="Normal 9 2 2 2 56 7" xfId="40114"/>
    <cellStyle name="Normal 9 2 2 2 57" xfId="8444"/>
    <cellStyle name="Normal 9 2 2 2 57 2" xfId="15525"/>
    <cellStyle name="Normal 9 2 2 2 57 3" xfId="20642"/>
    <cellStyle name="Normal 9 2 2 2 57 4" xfId="25685"/>
    <cellStyle name="Normal 9 2 2 2 57 5" xfId="30646"/>
    <cellStyle name="Normal 9 2 2 2 57 6" xfId="35504"/>
    <cellStyle name="Normal 9 2 2 2 57 7" xfId="40235"/>
    <cellStyle name="Normal 9 2 2 2 58" xfId="8668"/>
    <cellStyle name="Normal 9 2 2 2 58 2" xfId="15749"/>
    <cellStyle name="Normal 9 2 2 2 58 3" xfId="20866"/>
    <cellStyle name="Normal 9 2 2 2 58 4" xfId="25909"/>
    <cellStyle name="Normal 9 2 2 2 58 5" xfId="30870"/>
    <cellStyle name="Normal 9 2 2 2 58 6" xfId="35728"/>
    <cellStyle name="Normal 9 2 2 2 58 7" xfId="40459"/>
    <cellStyle name="Normal 9 2 2 2 59" xfId="8264"/>
    <cellStyle name="Normal 9 2 2 2 59 2" xfId="15345"/>
    <cellStyle name="Normal 9 2 2 2 59 3" xfId="20462"/>
    <cellStyle name="Normal 9 2 2 2 59 4" xfId="25505"/>
    <cellStyle name="Normal 9 2 2 2 59 5" xfId="30466"/>
    <cellStyle name="Normal 9 2 2 2 59 6" xfId="35324"/>
    <cellStyle name="Normal 9 2 2 2 59 7" xfId="40055"/>
    <cellStyle name="Normal 9 2 2 2 6" xfId="4409"/>
    <cellStyle name="Normal 9 2 2 2 6 2" xfId="6162"/>
    <cellStyle name="Normal 9 2 2 2 6 3" xfId="18266"/>
    <cellStyle name="Normal 9 2 2 2 6 4" xfId="23309"/>
    <cellStyle name="Normal 9 2 2 2 6 5" xfId="28270"/>
    <cellStyle name="Normal 9 2 2 2 6 6" xfId="33128"/>
    <cellStyle name="Normal 9 2 2 2 6 7" xfId="37859"/>
    <cellStyle name="Normal 9 2 2 2 60" xfId="8522"/>
    <cellStyle name="Normal 9 2 2 2 60 2" xfId="15603"/>
    <cellStyle name="Normal 9 2 2 2 60 3" xfId="20720"/>
    <cellStyle name="Normal 9 2 2 2 60 4" xfId="25763"/>
    <cellStyle name="Normal 9 2 2 2 60 5" xfId="30724"/>
    <cellStyle name="Normal 9 2 2 2 60 6" xfId="35582"/>
    <cellStyle name="Normal 9 2 2 2 60 7" xfId="40313"/>
    <cellStyle name="Normal 9 2 2 2 61" xfId="8812"/>
    <cellStyle name="Normal 9 2 2 2 61 2" xfId="15893"/>
    <cellStyle name="Normal 9 2 2 2 61 3" xfId="21010"/>
    <cellStyle name="Normal 9 2 2 2 61 4" xfId="26053"/>
    <cellStyle name="Normal 9 2 2 2 61 5" xfId="31014"/>
    <cellStyle name="Normal 9 2 2 2 61 6" xfId="35872"/>
    <cellStyle name="Normal 9 2 2 2 61 7" xfId="40603"/>
    <cellStyle name="Normal 9 2 2 2 62" xfId="8599"/>
    <cellStyle name="Normal 9 2 2 2 62 2" xfId="15680"/>
    <cellStyle name="Normal 9 2 2 2 62 3" xfId="20797"/>
    <cellStyle name="Normal 9 2 2 2 62 4" xfId="25840"/>
    <cellStyle name="Normal 9 2 2 2 62 5" xfId="30801"/>
    <cellStyle name="Normal 9 2 2 2 62 6" xfId="35659"/>
    <cellStyle name="Normal 9 2 2 2 62 7" xfId="40390"/>
    <cellStyle name="Normal 9 2 2 2 63" xfId="8848"/>
    <cellStyle name="Normal 9 2 2 2 63 2" xfId="15929"/>
    <cellStyle name="Normal 9 2 2 2 63 3" xfId="21046"/>
    <cellStyle name="Normal 9 2 2 2 63 4" xfId="26089"/>
    <cellStyle name="Normal 9 2 2 2 63 5" xfId="31050"/>
    <cellStyle name="Normal 9 2 2 2 63 6" xfId="35908"/>
    <cellStyle name="Normal 9 2 2 2 63 7" xfId="40639"/>
    <cellStyle name="Normal 9 2 2 2 64" xfId="9384"/>
    <cellStyle name="Normal 9 2 2 2 64 2" xfId="16465"/>
    <cellStyle name="Normal 9 2 2 2 64 3" xfId="21582"/>
    <cellStyle name="Normal 9 2 2 2 64 4" xfId="26625"/>
    <cellStyle name="Normal 9 2 2 2 64 5" xfId="31586"/>
    <cellStyle name="Normal 9 2 2 2 64 6" xfId="36444"/>
    <cellStyle name="Normal 9 2 2 2 64 7" xfId="41175"/>
    <cellStyle name="Normal 9 2 2 2 65" xfId="9458"/>
    <cellStyle name="Normal 9 2 2 2 65 2" xfId="16539"/>
    <cellStyle name="Normal 9 2 2 2 65 3" xfId="21656"/>
    <cellStyle name="Normal 9 2 2 2 65 4" xfId="26699"/>
    <cellStyle name="Normal 9 2 2 2 65 5" xfId="31660"/>
    <cellStyle name="Normal 9 2 2 2 65 6" xfId="36518"/>
    <cellStyle name="Normal 9 2 2 2 65 7" xfId="41249"/>
    <cellStyle name="Normal 9 2 2 2 66" xfId="9419"/>
    <cellStyle name="Normal 9 2 2 2 66 2" xfId="16500"/>
    <cellStyle name="Normal 9 2 2 2 66 3" xfId="21617"/>
    <cellStyle name="Normal 9 2 2 2 66 4" xfId="26660"/>
    <cellStyle name="Normal 9 2 2 2 66 5" xfId="31621"/>
    <cellStyle name="Normal 9 2 2 2 66 6" xfId="36479"/>
    <cellStyle name="Normal 9 2 2 2 66 7" xfId="41210"/>
    <cellStyle name="Normal 9 2 2 2 67" xfId="9351"/>
    <cellStyle name="Normal 9 2 2 2 67 2" xfId="16432"/>
    <cellStyle name="Normal 9 2 2 2 67 3" xfId="21549"/>
    <cellStyle name="Normal 9 2 2 2 67 4" xfId="26592"/>
    <cellStyle name="Normal 9 2 2 2 67 5" xfId="31553"/>
    <cellStyle name="Normal 9 2 2 2 67 6" xfId="36411"/>
    <cellStyle name="Normal 9 2 2 2 67 7" xfId="41142"/>
    <cellStyle name="Normal 9 2 2 2 68" xfId="9575"/>
    <cellStyle name="Normal 9 2 2 2 68 2" xfId="16656"/>
    <cellStyle name="Normal 9 2 2 2 68 3" xfId="21773"/>
    <cellStyle name="Normal 9 2 2 2 68 4" xfId="26816"/>
    <cellStyle name="Normal 9 2 2 2 68 5" xfId="31777"/>
    <cellStyle name="Normal 9 2 2 2 68 6" xfId="36635"/>
    <cellStyle name="Normal 9 2 2 2 68 7" xfId="41366"/>
    <cellStyle name="Normal 9 2 2 2 69" xfId="9232"/>
    <cellStyle name="Normal 9 2 2 2 69 2" xfId="16313"/>
    <cellStyle name="Normal 9 2 2 2 69 3" xfId="21430"/>
    <cellStyle name="Normal 9 2 2 2 69 4" xfId="26473"/>
    <cellStyle name="Normal 9 2 2 2 69 5" xfId="31434"/>
    <cellStyle name="Normal 9 2 2 2 69 6" xfId="36292"/>
    <cellStyle name="Normal 9 2 2 2 69 7" xfId="41023"/>
    <cellStyle name="Normal 9 2 2 2 7" xfId="4465"/>
    <cellStyle name="Normal 9 2 2 2 7 2" xfId="6456"/>
    <cellStyle name="Normal 9 2 2 2 7 3" xfId="18566"/>
    <cellStyle name="Normal 9 2 2 2 7 4" xfId="23609"/>
    <cellStyle name="Normal 9 2 2 2 7 5" xfId="28570"/>
    <cellStyle name="Normal 9 2 2 2 7 6" xfId="33428"/>
    <cellStyle name="Normal 9 2 2 2 7 7" xfId="38159"/>
    <cellStyle name="Normal 9 2 2 2 70" xfId="9176"/>
    <cellStyle name="Normal 9 2 2 2 70 2" xfId="16257"/>
    <cellStyle name="Normal 9 2 2 2 70 3" xfId="21374"/>
    <cellStyle name="Normal 9 2 2 2 70 4" xfId="26417"/>
    <cellStyle name="Normal 9 2 2 2 70 5" xfId="31378"/>
    <cellStyle name="Normal 9 2 2 2 70 6" xfId="36236"/>
    <cellStyle name="Normal 9 2 2 2 70 7" xfId="40967"/>
    <cellStyle name="Normal 9 2 2 2 71" xfId="9584"/>
    <cellStyle name="Normal 9 2 2 2 71 2" xfId="16665"/>
    <cellStyle name="Normal 9 2 2 2 71 3" xfId="21782"/>
    <cellStyle name="Normal 9 2 2 2 71 4" xfId="26825"/>
    <cellStyle name="Normal 9 2 2 2 71 5" xfId="31786"/>
    <cellStyle name="Normal 9 2 2 2 71 6" xfId="36644"/>
    <cellStyle name="Normal 9 2 2 2 71 7" xfId="41375"/>
    <cellStyle name="Normal 9 2 2 2 72" xfId="9542"/>
    <cellStyle name="Normal 9 2 2 2 72 2" xfId="16623"/>
    <cellStyle name="Normal 9 2 2 2 72 3" xfId="21740"/>
    <cellStyle name="Normal 9 2 2 2 72 4" xfId="26783"/>
    <cellStyle name="Normal 9 2 2 2 72 5" xfId="31744"/>
    <cellStyle name="Normal 9 2 2 2 72 6" xfId="36602"/>
    <cellStyle name="Normal 9 2 2 2 72 7" xfId="41333"/>
    <cellStyle name="Normal 9 2 2 2 73" xfId="9328"/>
    <cellStyle name="Normal 9 2 2 2 73 2" xfId="16409"/>
    <cellStyle name="Normal 9 2 2 2 73 3" xfId="21526"/>
    <cellStyle name="Normal 9 2 2 2 73 4" xfId="26569"/>
    <cellStyle name="Normal 9 2 2 2 73 5" xfId="31530"/>
    <cellStyle name="Normal 9 2 2 2 73 6" xfId="36388"/>
    <cellStyle name="Normal 9 2 2 2 73 7" xfId="41119"/>
    <cellStyle name="Normal 9 2 2 2 74" xfId="9242"/>
    <cellStyle name="Normal 9 2 2 2 74 2" xfId="16323"/>
    <cellStyle name="Normal 9 2 2 2 74 3" xfId="21440"/>
    <cellStyle name="Normal 9 2 2 2 74 4" xfId="26483"/>
    <cellStyle name="Normal 9 2 2 2 74 5" xfId="31444"/>
    <cellStyle name="Normal 9 2 2 2 74 6" xfId="36302"/>
    <cellStyle name="Normal 9 2 2 2 74 7" xfId="41033"/>
    <cellStyle name="Normal 9 2 2 2 75" xfId="9362"/>
    <cellStyle name="Normal 9 2 2 2 75 2" xfId="16443"/>
    <cellStyle name="Normal 9 2 2 2 75 3" xfId="21560"/>
    <cellStyle name="Normal 9 2 2 2 75 4" xfId="26603"/>
    <cellStyle name="Normal 9 2 2 2 75 5" xfId="31564"/>
    <cellStyle name="Normal 9 2 2 2 75 6" xfId="36422"/>
    <cellStyle name="Normal 9 2 2 2 75 7" xfId="41153"/>
    <cellStyle name="Normal 9 2 2 2 76" xfId="9881"/>
    <cellStyle name="Normal 9 2 2 2 76 2" xfId="16962"/>
    <cellStyle name="Normal 9 2 2 2 76 3" xfId="22079"/>
    <cellStyle name="Normal 9 2 2 2 76 4" xfId="27122"/>
    <cellStyle name="Normal 9 2 2 2 76 5" xfId="32083"/>
    <cellStyle name="Normal 9 2 2 2 76 6" xfId="36941"/>
    <cellStyle name="Normal 9 2 2 2 76 7" xfId="41672"/>
    <cellStyle name="Normal 9 2 2 2 77" xfId="9929"/>
    <cellStyle name="Normal 9 2 2 2 77 2" xfId="17010"/>
    <cellStyle name="Normal 9 2 2 2 77 3" xfId="22127"/>
    <cellStyle name="Normal 9 2 2 2 77 4" xfId="27170"/>
    <cellStyle name="Normal 9 2 2 2 77 5" xfId="32131"/>
    <cellStyle name="Normal 9 2 2 2 77 6" xfId="36989"/>
    <cellStyle name="Normal 9 2 2 2 77 7" xfId="41720"/>
    <cellStyle name="Normal 9 2 2 2 78" xfId="9907"/>
    <cellStyle name="Normal 9 2 2 2 78 2" xfId="16988"/>
    <cellStyle name="Normal 9 2 2 2 78 3" xfId="22105"/>
    <cellStyle name="Normal 9 2 2 2 78 4" xfId="27148"/>
    <cellStyle name="Normal 9 2 2 2 78 5" xfId="32109"/>
    <cellStyle name="Normal 9 2 2 2 78 6" xfId="36967"/>
    <cellStyle name="Normal 9 2 2 2 78 7" xfId="41698"/>
    <cellStyle name="Normal 9 2 2 2 79" xfId="9861"/>
    <cellStyle name="Normal 9 2 2 2 79 2" xfId="16942"/>
    <cellStyle name="Normal 9 2 2 2 79 3" xfId="22059"/>
    <cellStyle name="Normal 9 2 2 2 79 4" xfId="27102"/>
    <cellStyle name="Normal 9 2 2 2 79 5" xfId="32063"/>
    <cellStyle name="Normal 9 2 2 2 79 6" xfId="36921"/>
    <cellStyle name="Normal 9 2 2 2 79 7" xfId="41652"/>
    <cellStyle name="Normal 9 2 2 2 8" xfId="4573"/>
    <cellStyle name="Normal 9 2 2 2 8 2" xfId="6014"/>
    <cellStyle name="Normal 9 2 2 2 8 3" xfId="18117"/>
    <cellStyle name="Normal 9 2 2 2 8 4" xfId="23160"/>
    <cellStyle name="Normal 9 2 2 2 8 5" xfId="28121"/>
    <cellStyle name="Normal 9 2 2 2 8 6" xfId="32979"/>
    <cellStyle name="Normal 9 2 2 2 8 7" xfId="37710"/>
    <cellStyle name="Normal 9 2 2 2 80" xfId="9985"/>
    <cellStyle name="Normal 9 2 2 2 80 2" xfId="17066"/>
    <cellStyle name="Normal 9 2 2 2 80 3" xfId="22183"/>
    <cellStyle name="Normal 9 2 2 2 80 4" xfId="27226"/>
    <cellStyle name="Normal 9 2 2 2 80 5" xfId="32187"/>
    <cellStyle name="Normal 9 2 2 2 80 6" xfId="37045"/>
    <cellStyle name="Normal 9 2 2 2 80 7" xfId="41776"/>
    <cellStyle name="Normal 9 2 2 2 81" xfId="9807"/>
    <cellStyle name="Normal 9 2 2 2 81 2" xfId="16888"/>
    <cellStyle name="Normal 9 2 2 2 81 3" xfId="22005"/>
    <cellStyle name="Normal 9 2 2 2 81 4" xfId="27048"/>
    <cellStyle name="Normal 9 2 2 2 81 5" xfId="32009"/>
    <cellStyle name="Normal 9 2 2 2 81 6" xfId="36867"/>
    <cellStyle name="Normal 9 2 2 2 81 7" xfId="41598"/>
    <cellStyle name="Normal 9 2 2 2 82" xfId="10211"/>
    <cellStyle name="Normal 9 2 2 2 82 2" xfId="17292"/>
    <cellStyle name="Normal 9 2 2 2 82 3" xfId="22409"/>
    <cellStyle name="Normal 9 2 2 2 82 4" xfId="27452"/>
    <cellStyle name="Normal 9 2 2 2 82 5" xfId="32413"/>
    <cellStyle name="Normal 9 2 2 2 82 6" xfId="37271"/>
    <cellStyle name="Normal 9 2 2 2 82 7" xfId="42002"/>
    <cellStyle name="Normal 9 2 2 2 83" xfId="10259"/>
    <cellStyle name="Normal 9 2 2 2 83 2" xfId="17340"/>
    <cellStyle name="Normal 9 2 2 2 83 3" xfId="22457"/>
    <cellStyle name="Normal 9 2 2 2 83 4" xfId="27500"/>
    <cellStyle name="Normal 9 2 2 2 83 5" xfId="32461"/>
    <cellStyle name="Normal 9 2 2 2 83 6" xfId="37319"/>
    <cellStyle name="Normal 9 2 2 2 83 7" xfId="42050"/>
    <cellStyle name="Normal 9 2 2 2 84" xfId="10237"/>
    <cellStyle name="Normal 9 2 2 2 84 2" xfId="17318"/>
    <cellStyle name="Normal 9 2 2 2 84 3" xfId="22435"/>
    <cellStyle name="Normal 9 2 2 2 84 4" xfId="27478"/>
    <cellStyle name="Normal 9 2 2 2 84 5" xfId="32439"/>
    <cellStyle name="Normal 9 2 2 2 84 6" xfId="37297"/>
    <cellStyle name="Normal 9 2 2 2 84 7" xfId="42028"/>
    <cellStyle name="Normal 9 2 2 2 85" xfId="10191"/>
    <cellStyle name="Normal 9 2 2 2 85 2" xfId="17272"/>
    <cellStyle name="Normal 9 2 2 2 85 3" xfId="22389"/>
    <cellStyle name="Normal 9 2 2 2 85 4" xfId="27432"/>
    <cellStyle name="Normal 9 2 2 2 85 5" xfId="32393"/>
    <cellStyle name="Normal 9 2 2 2 85 6" xfId="37251"/>
    <cellStyle name="Normal 9 2 2 2 85 7" xfId="41982"/>
    <cellStyle name="Normal 9 2 2 2 86" xfId="10315"/>
    <cellStyle name="Normal 9 2 2 2 86 2" xfId="17396"/>
    <cellStyle name="Normal 9 2 2 2 86 3" xfId="22513"/>
    <cellStyle name="Normal 9 2 2 2 86 4" xfId="27556"/>
    <cellStyle name="Normal 9 2 2 2 86 5" xfId="32517"/>
    <cellStyle name="Normal 9 2 2 2 86 6" xfId="37375"/>
    <cellStyle name="Normal 9 2 2 2 86 7" xfId="42106"/>
    <cellStyle name="Normal 9 2 2 2 87" xfId="10137"/>
    <cellStyle name="Normal 9 2 2 2 87 2" xfId="17218"/>
    <cellStyle name="Normal 9 2 2 2 87 3" xfId="22335"/>
    <cellStyle name="Normal 9 2 2 2 87 4" xfId="27378"/>
    <cellStyle name="Normal 9 2 2 2 87 5" xfId="32339"/>
    <cellStyle name="Normal 9 2 2 2 87 6" xfId="37197"/>
    <cellStyle name="Normal 9 2 2 2 87 7" xfId="41928"/>
    <cellStyle name="Normal 9 2 2 2 88" xfId="13025"/>
    <cellStyle name="Normal 9 2 2 2 89" xfId="13910"/>
    <cellStyle name="Normal 9 2 2 2 9" xfId="4601"/>
    <cellStyle name="Normal 9 2 2 2 9 2" xfId="5941"/>
    <cellStyle name="Normal 9 2 2 2 9 3" xfId="18043"/>
    <cellStyle name="Normal 9 2 2 2 9 4" xfId="23086"/>
    <cellStyle name="Normal 9 2 2 2 9 5" xfId="28047"/>
    <cellStyle name="Normal 9 2 2 2 9 6" xfId="32905"/>
    <cellStyle name="Normal 9 2 2 2 9 7" xfId="37636"/>
    <cellStyle name="Normal 9 2 2 2 90" xfId="17643"/>
    <cellStyle name="Normal 9 2 2 2 91" xfId="22727"/>
    <cellStyle name="Normal 9 2 2 2 92" xfId="27735"/>
    <cellStyle name="Normal 9 2 2 2 93" xfId="32651"/>
    <cellStyle name="Normal 9 2 2 3" xfId="2522"/>
    <cellStyle name="Normal 9 2 2 3 2" xfId="13068"/>
    <cellStyle name="Normal 9 2 2 3 3" xfId="14123"/>
    <cellStyle name="Normal 9 2 2 3 4" xfId="17831"/>
    <cellStyle name="Normal 9 2 2 3 5" xfId="22887"/>
    <cellStyle name="Normal 9 2 2 3 6" xfId="27857"/>
    <cellStyle name="Normal 9 2 2 3 7" xfId="32728"/>
    <cellStyle name="Normal 9 2 2 4" xfId="12246"/>
    <cellStyle name="Normal 9 2 2 5" xfId="13757"/>
    <cellStyle name="Normal 9 2 2 6" xfId="17502"/>
    <cellStyle name="Normal 9 2 2 7" xfId="22609"/>
    <cellStyle name="Normal 9 2 2 8" xfId="27642"/>
    <cellStyle name="Normal 9 2 2 9" xfId="32598"/>
    <cellStyle name="Normal 9 2 20" xfId="5021"/>
    <cellStyle name="Normal 9 2 20 2" xfId="6706"/>
    <cellStyle name="Normal 9 2 20 3" xfId="18827"/>
    <cellStyle name="Normal 9 2 20 4" xfId="23870"/>
    <cellStyle name="Normal 9 2 20 5" xfId="28831"/>
    <cellStyle name="Normal 9 2 20 6" xfId="33689"/>
    <cellStyle name="Normal 9 2 20 7" xfId="38420"/>
    <cellStyle name="Normal 9 2 21" xfId="5307"/>
    <cellStyle name="Normal 9 2 21 2" xfId="6746"/>
    <cellStyle name="Normal 9 2 21 3" xfId="18867"/>
    <cellStyle name="Normal 9 2 21 4" xfId="23910"/>
    <cellStyle name="Normal 9 2 21 5" xfId="28871"/>
    <cellStyle name="Normal 9 2 21 6" xfId="33729"/>
    <cellStyle name="Normal 9 2 21 7" xfId="38460"/>
    <cellStyle name="Normal 9 2 22" xfId="5384"/>
    <cellStyle name="Normal 9 2 22 2" xfId="6747"/>
    <cellStyle name="Normal 9 2 22 3" xfId="18868"/>
    <cellStyle name="Normal 9 2 22 4" xfId="23911"/>
    <cellStyle name="Normal 9 2 22 5" xfId="28872"/>
    <cellStyle name="Normal 9 2 22 6" xfId="33730"/>
    <cellStyle name="Normal 9 2 22 7" xfId="38461"/>
    <cellStyle name="Normal 9 2 23" xfId="5386"/>
    <cellStyle name="Normal 9 2 23 2" xfId="6699"/>
    <cellStyle name="Normal 9 2 23 3" xfId="18820"/>
    <cellStyle name="Normal 9 2 23 4" xfId="23863"/>
    <cellStyle name="Normal 9 2 23 5" xfId="28824"/>
    <cellStyle name="Normal 9 2 23 6" xfId="33682"/>
    <cellStyle name="Normal 9 2 23 7" xfId="38413"/>
    <cellStyle name="Normal 9 2 24" xfId="5290"/>
    <cellStyle name="Normal 9 2 24 2" xfId="7020"/>
    <cellStyle name="Normal 9 2 24 3" xfId="19159"/>
    <cellStyle name="Normal 9 2 24 4" xfId="24202"/>
    <cellStyle name="Normal 9 2 24 5" xfId="29163"/>
    <cellStyle name="Normal 9 2 24 6" xfId="34021"/>
    <cellStyle name="Normal 9 2 24 7" xfId="38752"/>
    <cellStyle name="Normal 9 2 25" xfId="5470"/>
    <cellStyle name="Normal 9 2 25 2" xfId="7123"/>
    <cellStyle name="Normal 9 2 25 3" xfId="19271"/>
    <cellStyle name="Normal 9 2 25 4" xfId="24314"/>
    <cellStyle name="Normal 9 2 25 5" xfId="29275"/>
    <cellStyle name="Normal 9 2 25 6" xfId="34133"/>
    <cellStyle name="Normal 9 2 25 7" xfId="38864"/>
    <cellStyle name="Normal 9 2 26" xfId="5486"/>
    <cellStyle name="Normal 9 2 26 2" xfId="7126"/>
    <cellStyle name="Normal 9 2 26 3" xfId="19275"/>
    <cellStyle name="Normal 9 2 26 4" xfId="24318"/>
    <cellStyle name="Normal 9 2 26 5" xfId="29279"/>
    <cellStyle name="Normal 9 2 26 6" xfId="34137"/>
    <cellStyle name="Normal 9 2 26 7" xfId="38868"/>
    <cellStyle name="Normal 9 2 27" xfId="5243"/>
    <cellStyle name="Normal 9 2 27 2" xfId="7000"/>
    <cellStyle name="Normal 9 2 27 3" xfId="19138"/>
    <cellStyle name="Normal 9 2 27 4" xfId="24181"/>
    <cellStyle name="Normal 9 2 27 5" xfId="29142"/>
    <cellStyle name="Normal 9 2 27 6" xfId="34000"/>
    <cellStyle name="Normal 9 2 27 7" xfId="38731"/>
    <cellStyle name="Normal 9 2 28" xfId="5187"/>
    <cellStyle name="Normal 9 2 28 2" xfId="7222"/>
    <cellStyle name="Normal 9 2 28 3" xfId="19380"/>
    <cellStyle name="Normal 9 2 28 4" xfId="24423"/>
    <cellStyle name="Normal 9 2 28 5" xfId="29384"/>
    <cellStyle name="Normal 9 2 28 6" xfId="34242"/>
    <cellStyle name="Normal 9 2 28 7" xfId="38973"/>
    <cellStyle name="Normal 9 2 29" xfId="5552"/>
    <cellStyle name="Normal 9 2 29 2" xfId="7239"/>
    <cellStyle name="Normal 9 2 29 3" xfId="19400"/>
    <cellStyle name="Normal 9 2 29 4" xfId="24443"/>
    <cellStyle name="Normal 9 2 29 5" xfId="29404"/>
    <cellStyle name="Normal 9 2 29 6" xfId="34262"/>
    <cellStyle name="Normal 9 2 29 7" xfId="38993"/>
    <cellStyle name="Normal 9 2 3" xfId="1477"/>
    <cellStyle name="Normal 9 2 3 2" xfId="2506"/>
    <cellStyle name="Normal 9 2 3 2 10" xfId="4702"/>
    <cellStyle name="Normal 9 2 3 2 10 2" xfId="6107"/>
    <cellStyle name="Normal 9 2 3 2 10 3" xfId="18211"/>
    <cellStyle name="Normal 9 2 3 2 10 4" xfId="23254"/>
    <cellStyle name="Normal 9 2 3 2 10 5" xfId="28215"/>
    <cellStyle name="Normal 9 2 3 2 10 6" xfId="33073"/>
    <cellStyle name="Normal 9 2 3 2 10 7" xfId="37804"/>
    <cellStyle name="Normal 9 2 3 2 11" xfId="4859"/>
    <cellStyle name="Normal 9 2 3 2 11 2" xfId="6469"/>
    <cellStyle name="Normal 9 2 3 2 11 3" xfId="18579"/>
    <cellStyle name="Normal 9 2 3 2 11 4" xfId="23622"/>
    <cellStyle name="Normal 9 2 3 2 11 5" xfId="28583"/>
    <cellStyle name="Normal 9 2 3 2 11 6" xfId="33441"/>
    <cellStyle name="Normal 9 2 3 2 11 7" xfId="38172"/>
    <cellStyle name="Normal 9 2 3 2 12" xfId="4759"/>
    <cellStyle name="Normal 9 2 3 2 12 2" xfId="5849"/>
    <cellStyle name="Normal 9 2 3 2 12 3" xfId="17949"/>
    <cellStyle name="Normal 9 2 3 2 12 4" xfId="22992"/>
    <cellStyle name="Normal 9 2 3 2 12 5" xfId="27953"/>
    <cellStyle name="Normal 9 2 3 2 12 6" xfId="32811"/>
    <cellStyle name="Normal 9 2 3 2 12 7" xfId="37542"/>
    <cellStyle name="Normal 9 2 3 2 13" xfId="4751"/>
    <cellStyle name="Normal 9 2 3 2 13 2" xfId="6019"/>
    <cellStyle name="Normal 9 2 3 2 13 3" xfId="18123"/>
    <cellStyle name="Normal 9 2 3 2 13 4" xfId="23166"/>
    <cellStyle name="Normal 9 2 3 2 13 5" xfId="28127"/>
    <cellStyle name="Normal 9 2 3 2 13 6" xfId="32985"/>
    <cellStyle name="Normal 9 2 3 2 13 7" xfId="37716"/>
    <cellStyle name="Normal 9 2 3 2 14" xfId="4743"/>
    <cellStyle name="Normal 9 2 3 2 14 2" xfId="6183"/>
    <cellStyle name="Normal 9 2 3 2 14 3" xfId="18287"/>
    <cellStyle name="Normal 9 2 3 2 14 4" xfId="23330"/>
    <cellStyle name="Normal 9 2 3 2 14 5" xfId="28291"/>
    <cellStyle name="Normal 9 2 3 2 14 6" xfId="33149"/>
    <cellStyle name="Normal 9 2 3 2 14 7" xfId="37880"/>
    <cellStyle name="Normal 9 2 3 2 15" xfId="5084"/>
    <cellStyle name="Normal 9 2 3 2 15 2" xfId="6383"/>
    <cellStyle name="Normal 9 2 3 2 15 3" xfId="18493"/>
    <cellStyle name="Normal 9 2 3 2 15 4" xfId="23536"/>
    <cellStyle name="Normal 9 2 3 2 15 5" xfId="28497"/>
    <cellStyle name="Normal 9 2 3 2 15 6" xfId="33355"/>
    <cellStyle name="Normal 9 2 3 2 15 7" xfId="38086"/>
    <cellStyle name="Normal 9 2 3 2 16" xfId="4978"/>
    <cellStyle name="Normal 9 2 3 2 16 2" xfId="5912"/>
    <cellStyle name="Normal 9 2 3 2 16 3" xfId="18014"/>
    <cellStyle name="Normal 9 2 3 2 16 4" xfId="23057"/>
    <cellStyle name="Normal 9 2 3 2 16 5" xfId="28018"/>
    <cellStyle name="Normal 9 2 3 2 16 6" xfId="32876"/>
    <cellStyle name="Normal 9 2 3 2 16 7" xfId="37607"/>
    <cellStyle name="Normal 9 2 3 2 17" xfId="5014"/>
    <cellStyle name="Normal 9 2 3 2 17 2" xfId="6198"/>
    <cellStyle name="Normal 9 2 3 2 17 3" xfId="18302"/>
    <cellStyle name="Normal 9 2 3 2 17 4" xfId="23345"/>
    <cellStyle name="Normal 9 2 3 2 17 5" xfId="28306"/>
    <cellStyle name="Normal 9 2 3 2 17 6" xfId="33164"/>
    <cellStyle name="Normal 9 2 3 2 17 7" xfId="37895"/>
    <cellStyle name="Normal 9 2 3 2 18" xfId="5042"/>
    <cellStyle name="Normal 9 2 3 2 18 2" xfId="6778"/>
    <cellStyle name="Normal 9 2 3 2 18 3" xfId="18899"/>
    <cellStyle name="Normal 9 2 3 2 18 4" xfId="23942"/>
    <cellStyle name="Normal 9 2 3 2 18 5" xfId="28903"/>
    <cellStyle name="Normal 9 2 3 2 18 6" xfId="33761"/>
    <cellStyle name="Normal 9 2 3 2 18 7" xfId="38492"/>
    <cellStyle name="Normal 9 2 3 2 19" xfId="5438"/>
    <cellStyle name="Normal 9 2 3 2 19 2" xfId="6680"/>
    <cellStyle name="Normal 9 2 3 2 19 3" xfId="18800"/>
    <cellStyle name="Normal 9 2 3 2 19 4" xfId="23843"/>
    <cellStyle name="Normal 9 2 3 2 19 5" xfId="28804"/>
    <cellStyle name="Normal 9 2 3 2 19 6" xfId="33662"/>
    <cellStyle name="Normal 9 2 3 2 19 7" xfId="38393"/>
    <cellStyle name="Normal 9 2 3 2 2" xfId="4303"/>
    <cellStyle name="Normal 9 2 3 2 2 2" xfId="6217"/>
    <cellStyle name="Normal 9 2 3 2 2 3" xfId="18321"/>
    <cellStyle name="Normal 9 2 3 2 2 4" xfId="23364"/>
    <cellStyle name="Normal 9 2 3 2 2 5" xfId="28325"/>
    <cellStyle name="Normal 9 2 3 2 2 6" xfId="33183"/>
    <cellStyle name="Normal 9 2 3 2 2 7" xfId="37914"/>
    <cellStyle name="Normal 9 2 3 2 20" xfId="5231"/>
    <cellStyle name="Normal 9 2 3 2 20 2" xfId="6672"/>
    <cellStyle name="Normal 9 2 3 2 20 3" xfId="18792"/>
    <cellStyle name="Normal 9 2 3 2 20 4" xfId="23835"/>
    <cellStyle name="Normal 9 2 3 2 20 5" xfId="28796"/>
    <cellStyle name="Normal 9 2 3 2 20 6" xfId="33654"/>
    <cellStyle name="Normal 9 2 3 2 20 7" xfId="38385"/>
    <cellStyle name="Normal 9 2 3 2 21" xfId="5209"/>
    <cellStyle name="Normal 9 2 3 2 21 2" xfId="6670"/>
    <cellStyle name="Normal 9 2 3 2 21 3" xfId="18790"/>
    <cellStyle name="Normal 9 2 3 2 21 4" xfId="23833"/>
    <cellStyle name="Normal 9 2 3 2 21 5" xfId="28794"/>
    <cellStyle name="Normal 9 2 3 2 21 6" xfId="33652"/>
    <cellStyle name="Normal 9 2 3 2 21 7" xfId="38383"/>
    <cellStyle name="Normal 9 2 3 2 22" xfId="5190"/>
    <cellStyle name="Normal 9 2 3 2 22 2" xfId="7182"/>
    <cellStyle name="Normal 9 2 3 2 22 3" xfId="19337"/>
    <cellStyle name="Normal 9 2 3 2 22 4" xfId="24380"/>
    <cellStyle name="Normal 9 2 3 2 22 5" xfId="29341"/>
    <cellStyle name="Normal 9 2 3 2 22 6" xfId="34199"/>
    <cellStyle name="Normal 9 2 3 2 22 7" xfId="38930"/>
    <cellStyle name="Normal 9 2 3 2 23" xfId="5454"/>
    <cellStyle name="Normal 9 2 3 2 23 2" xfId="6930"/>
    <cellStyle name="Normal 9 2 3 2 23 3" xfId="19058"/>
    <cellStyle name="Normal 9 2 3 2 23 4" xfId="24101"/>
    <cellStyle name="Normal 9 2 3 2 23 5" xfId="29062"/>
    <cellStyle name="Normal 9 2 3 2 23 6" xfId="33920"/>
    <cellStyle name="Normal 9 2 3 2 23 7" xfId="38651"/>
    <cellStyle name="Normal 9 2 3 2 24" xfId="5524"/>
    <cellStyle name="Normal 9 2 3 2 24 2" xfId="6909"/>
    <cellStyle name="Normal 9 2 3 2 24 3" xfId="19035"/>
    <cellStyle name="Normal 9 2 3 2 24 4" xfId="24078"/>
    <cellStyle name="Normal 9 2 3 2 24 5" xfId="29039"/>
    <cellStyle name="Normal 9 2 3 2 24 6" xfId="33897"/>
    <cellStyle name="Normal 9 2 3 2 24 7" xfId="38628"/>
    <cellStyle name="Normal 9 2 3 2 25" xfId="5478"/>
    <cellStyle name="Normal 9 2 3 2 25 2" xfId="6908"/>
    <cellStyle name="Normal 9 2 3 2 25 3" xfId="19032"/>
    <cellStyle name="Normal 9 2 3 2 25 4" xfId="24075"/>
    <cellStyle name="Normal 9 2 3 2 25 5" xfId="29036"/>
    <cellStyle name="Normal 9 2 3 2 25 6" xfId="33894"/>
    <cellStyle name="Normal 9 2 3 2 25 7" xfId="38625"/>
    <cellStyle name="Normal 9 2 3 2 26" xfId="5506"/>
    <cellStyle name="Normal 9 2 3 2 26 2" xfId="6910"/>
    <cellStyle name="Normal 9 2 3 2 26 3" xfId="19036"/>
    <cellStyle name="Normal 9 2 3 2 26 4" xfId="24079"/>
    <cellStyle name="Normal 9 2 3 2 26 5" xfId="29040"/>
    <cellStyle name="Normal 9 2 3 2 26 6" xfId="33898"/>
    <cellStyle name="Normal 9 2 3 2 26 7" xfId="38629"/>
    <cellStyle name="Normal 9 2 3 2 27" xfId="5411"/>
    <cellStyle name="Normal 9 2 3 2 27 2" xfId="6891"/>
    <cellStyle name="Normal 9 2 3 2 27 3" xfId="19014"/>
    <cellStyle name="Normal 9 2 3 2 27 4" xfId="24057"/>
    <cellStyle name="Normal 9 2 3 2 27 5" xfId="29018"/>
    <cellStyle name="Normal 9 2 3 2 27 6" xfId="33876"/>
    <cellStyle name="Normal 9 2 3 2 27 7" xfId="38607"/>
    <cellStyle name="Normal 9 2 3 2 28" xfId="5788"/>
    <cellStyle name="Normal 9 2 3 2 28 2" xfId="14288"/>
    <cellStyle name="Normal 9 2 3 2 28 3" xfId="19127"/>
    <cellStyle name="Normal 9 2 3 2 28 4" xfId="24170"/>
    <cellStyle name="Normal 9 2 3 2 28 5" xfId="29131"/>
    <cellStyle name="Normal 9 2 3 2 28 6" xfId="33989"/>
    <cellStyle name="Normal 9 2 3 2 28 7" xfId="38720"/>
    <cellStyle name="Normal 9 2 3 2 29" xfId="7328"/>
    <cellStyle name="Normal 9 2 3 2 29 2" xfId="14457"/>
    <cellStyle name="Normal 9 2 3 2 29 3" xfId="19500"/>
    <cellStyle name="Normal 9 2 3 2 29 4" xfId="24543"/>
    <cellStyle name="Normal 9 2 3 2 29 5" xfId="29504"/>
    <cellStyle name="Normal 9 2 3 2 29 6" xfId="34362"/>
    <cellStyle name="Normal 9 2 3 2 29 7" xfId="39093"/>
    <cellStyle name="Normal 9 2 3 2 3" xfId="4226"/>
    <cellStyle name="Normal 9 2 3 2 3 2" xfId="5870"/>
    <cellStyle name="Normal 9 2 3 2 3 3" xfId="17970"/>
    <cellStyle name="Normal 9 2 3 2 3 4" xfId="23013"/>
    <cellStyle name="Normal 9 2 3 2 3 5" xfId="27974"/>
    <cellStyle name="Normal 9 2 3 2 3 6" xfId="32832"/>
    <cellStyle name="Normal 9 2 3 2 3 7" xfId="37563"/>
    <cellStyle name="Normal 9 2 3 2 30" xfId="7102"/>
    <cellStyle name="Normal 9 2 3 2 30 2" xfId="14345"/>
    <cellStyle name="Normal 9 2 3 2 30 3" xfId="19248"/>
    <cellStyle name="Normal 9 2 3 2 30 4" xfId="24291"/>
    <cellStyle name="Normal 9 2 3 2 30 5" xfId="29252"/>
    <cellStyle name="Normal 9 2 3 2 30 6" xfId="34110"/>
    <cellStyle name="Normal 9 2 3 2 30 7" xfId="38841"/>
    <cellStyle name="Normal 9 2 3 2 31" xfId="7349"/>
    <cellStyle name="Normal 9 2 3 2 31 2" xfId="14470"/>
    <cellStyle name="Normal 9 2 3 2 31 3" xfId="19522"/>
    <cellStyle name="Normal 9 2 3 2 31 4" xfId="24565"/>
    <cellStyle name="Normal 9 2 3 2 31 5" xfId="29526"/>
    <cellStyle name="Normal 9 2 3 2 31 6" xfId="34384"/>
    <cellStyle name="Normal 9 2 3 2 31 7" xfId="39115"/>
    <cellStyle name="Normal 9 2 3 2 32" xfId="6915"/>
    <cellStyle name="Normal 9 2 3 2 32 2" xfId="14242"/>
    <cellStyle name="Normal 9 2 3 2 32 3" xfId="19043"/>
    <cellStyle name="Normal 9 2 3 2 32 4" xfId="24086"/>
    <cellStyle name="Normal 9 2 3 2 32 5" xfId="29047"/>
    <cellStyle name="Normal 9 2 3 2 32 6" xfId="33905"/>
    <cellStyle name="Normal 9 2 3 2 32 7" xfId="38636"/>
    <cellStyle name="Normal 9 2 3 2 33" xfId="7037"/>
    <cellStyle name="Normal 9 2 3 2 33 2" xfId="14308"/>
    <cellStyle name="Normal 9 2 3 2 33 3" xfId="19178"/>
    <cellStyle name="Normal 9 2 3 2 33 4" xfId="24221"/>
    <cellStyle name="Normal 9 2 3 2 33 5" xfId="29182"/>
    <cellStyle name="Normal 9 2 3 2 33 6" xfId="34040"/>
    <cellStyle name="Normal 9 2 3 2 33 7" xfId="38771"/>
    <cellStyle name="Normal 9 2 3 2 34" xfId="7843"/>
    <cellStyle name="Normal 9 2 3 2 34 2" xfId="14923"/>
    <cellStyle name="Normal 9 2 3 2 34 3" xfId="20040"/>
    <cellStyle name="Normal 9 2 3 2 34 4" xfId="25083"/>
    <cellStyle name="Normal 9 2 3 2 34 5" xfId="30044"/>
    <cellStyle name="Normal 9 2 3 2 34 6" xfId="34902"/>
    <cellStyle name="Normal 9 2 3 2 34 7" xfId="39633"/>
    <cellStyle name="Normal 9 2 3 2 35" xfId="7530"/>
    <cellStyle name="Normal 9 2 3 2 35 2" xfId="14608"/>
    <cellStyle name="Normal 9 2 3 2 35 3" xfId="19725"/>
    <cellStyle name="Normal 9 2 3 2 35 4" xfId="24768"/>
    <cellStyle name="Normal 9 2 3 2 35 5" xfId="29729"/>
    <cellStyle name="Normal 9 2 3 2 35 6" xfId="34587"/>
    <cellStyle name="Normal 9 2 3 2 35 7" xfId="39318"/>
    <cellStyle name="Normal 9 2 3 2 36" xfId="7502"/>
    <cellStyle name="Normal 9 2 3 2 36 2" xfId="14579"/>
    <cellStyle name="Normal 9 2 3 2 36 3" xfId="19696"/>
    <cellStyle name="Normal 9 2 3 2 36 4" xfId="24739"/>
    <cellStyle name="Normal 9 2 3 2 36 5" xfId="29700"/>
    <cellStyle name="Normal 9 2 3 2 36 6" xfId="34558"/>
    <cellStyle name="Normal 9 2 3 2 36 7" xfId="39289"/>
    <cellStyle name="Normal 9 2 3 2 37" xfId="7500"/>
    <cellStyle name="Normal 9 2 3 2 37 2" xfId="14576"/>
    <cellStyle name="Normal 9 2 3 2 37 3" xfId="19693"/>
    <cellStyle name="Normal 9 2 3 2 37 4" xfId="24736"/>
    <cellStyle name="Normal 9 2 3 2 37 5" xfId="29697"/>
    <cellStyle name="Normal 9 2 3 2 37 6" xfId="34555"/>
    <cellStyle name="Normal 9 2 3 2 37 7" xfId="39286"/>
    <cellStyle name="Normal 9 2 3 2 38" xfId="7503"/>
    <cellStyle name="Normal 9 2 3 2 38 2" xfId="14580"/>
    <cellStyle name="Normal 9 2 3 2 38 3" xfId="19697"/>
    <cellStyle name="Normal 9 2 3 2 38 4" xfId="24740"/>
    <cellStyle name="Normal 9 2 3 2 38 5" xfId="29701"/>
    <cellStyle name="Normal 9 2 3 2 38 6" xfId="34559"/>
    <cellStyle name="Normal 9 2 3 2 38 7" xfId="39290"/>
    <cellStyle name="Normal 9 2 3 2 39" xfId="7482"/>
    <cellStyle name="Normal 9 2 3 2 39 2" xfId="14557"/>
    <cellStyle name="Normal 9 2 3 2 39 3" xfId="19674"/>
    <cellStyle name="Normal 9 2 3 2 39 4" xfId="24717"/>
    <cellStyle name="Normal 9 2 3 2 39 5" xfId="29678"/>
    <cellStyle name="Normal 9 2 3 2 39 6" xfId="34536"/>
    <cellStyle name="Normal 9 2 3 2 39 7" xfId="39267"/>
    <cellStyle name="Normal 9 2 3 2 4" xfId="4285"/>
    <cellStyle name="Normal 9 2 3 2 4 2" xfId="5838"/>
    <cellStyle name="Normal 9 2 3 2 4 3" xfId="17938"/>
    <cellStyle name="Normal 9 2 3 2 4 4" xfId="22981"/>
    <cellStyle name="Normal 9 2 3 2 4 5" xfId="27942"/>
    <cellStyle name="Normal 9 2 3 2 4 6" xfId="32800"/>
    <cellStyle name="Normal 9 2 3 2 4 7" xfId="37531"/>
    <cellStyle name="Normal 9 2 3 2 40" xfId="7612"/>
    <cellStyle name="Normal 9 2 3 2 40 2" xfId="14692"/>
    <cellStyle name="Normal 9 2 3 2 40 3" xfId="19809"/>
    <cellStyle name="Normal 9 2 3 2 40 4" xfId="24852"/>
    <cellStyle name="Normal 9 2 3 2 40 5" xfId="29813"/>
    <cellStyle name="Normal 9 2 3 2 40 6" xfId="34671"/>
    <cellStyle name="Normal 9 2 3 2 40 7" xfId="39402"/>
    <cellStyle name="Normal 9 2 3 2 41" xfId="8041"/>
    <cellStyle name="Normal 9 2 3 2 41 2" xfId="15121"/>
    <cellStyle name="Normal 9 2 3 2 41 3" xfId="20238"/>
    <cellStyle name="Normal 9 2 3 2 41 4" xfId="25281"/>
    <cellStyle name="Normal 9 2 3 2 41 5" xfId="30242"/>
    <cellStyle name="Normal 9 2 3 2 41 6" xfId="35100"/>
    <cellStyle name="Normal 9 2 3 2 41 7" xfId="39831"/>
    <cellStyle name="Normal 9 2 3 2 42" xfId="7745"/>
    <cellStyle name="Normal 9 2 3 2 42 2" xfId="14825"/>
    <cellStyle name="Normal 9 2 3 2 42 3" xfId="19942"/>
    <cellStyle name="Normal 9 2 3 2 42 4" xfId="24985"/>
    <cellStyle name="Normal 9 2 3 2 42 5" xfId="29946"/>
    <cellStyle name="Normal 9 2 3 2 42 6" xfId="34804"/>
    <cellStyle name="Normal 9 2 3 2 42 7" xfId="39535"/>
    <cellStyle name="Normal 9 2 3 2 43" xfId="8070"/>
    <cellStyle name="Normal 9 2 3 2 43 2" xfId="15150"/>
    <cellStyle name="Normal 9 2 3 2 43 3" xfId="20267"/>
    <cellStyle name="Normal 9 2 3 2 43 4" xfId="25310"/>
    <cellStyle name="Normal 9 2 3 2 43 5" xfId="30271"/>
    <cellStyle name="Normal 9 2 3 2 43 6" xfId="35129"/>
    <cellStyle name="Normal 9 2 3 2 43 7" xfId="39860"/>
    <cellStyle name="Normal 9 2 3 2 44" xfId="7511"/>
    <cellStyle name="Normal 9 2 3 2 44 2" xfId="14588"/>
    <cellStyle name="Normal 9 2 3 2 44 3" xfId="19705"/>
    <cellStyle name="Normal 9 2 3 2 44 4" xfId="24748"/>
    <cellStyle name="Normal 9 2 3 2 44 5" xfId="29709"/>
    <cellStyle name="Normal 9 2 3 2 44 6" xfId="34567"/>
    <cellStyle name="Normal 9 2 3 2 44 7" xfId="39298"/>
    <cellStyle name="Normal 9 2 3 2 45" xfId="7667"/>
    <cellStyle name="Normal 9 2 3 2 45 2" xfId="14747"/>
    <cellStyle name="Normal 9 2 3 2 45 3" xfId="19864"/>
    <cellStyle name="Normal 9 2 3 2 45 4" xfId="24907"/>
    <cellStyle name="Normal 9 2 3 2 45 5" xfId="29868"/>
    <cellStyle name="Normal 9 2 3 2 45 6" xfId="34726"/>
    <cellStyle name="Normal 9 2 3 2 45 7" xfId="39457"/>
    <cellStyle name="Normal 9 2 3 2 46" xfId="7812"/>
    <cellStyle name="Normal 9 2 3 2 46 2" xfId="14892"/>
    <cellStyle name="Normal 9 2 3 2 46 3" xfId="20009"/>
    <cellStyle name="Normal 9 2 3 2 46 4" xfId="25052"/>
    <cellStyle name="Normal 9 2 3 2 46 5" xfId="30013"/>
    <cellStyle name="Normal 9 2 3 2 46 6" xfId="34871"/>
    <cellStyle name="Normal 9 2 3 2 46 7" xfId="39602"/>
    <cellStyle name="Normal 9 2 3 2 47" xfId="7992"/>
    <cellStyle name="Normal 9 2 3 2 47 2" xfId="15072"/>
    <cellStyle name="Normal 9 2 3 2 47 3" xfId="20189"/>
    <cellStyle name="Normal 9 2 3 2 47 4" xfId="25232"/>
    <cellStyle name="Normal 9 2 3 2 47 5" xfId="30193"/>
    <cellStyle name="Normal 9 2 3 2 47 6" xfId="35051"/>
    <cellStyle name="Normal 9 2 3 2 47 7" xfId="39782"/>
    <cellStyle name="Normal 9 2 3 2 48" xfId="8637"/>
    <cellStyle name="Normal 9 2 3 2 48 2" xfId="15718"/>
    <cellStyle name="Normal 9 2 3 2 48 3" xfId="20835"/>
    <cellStyle name="Normal 9 2 3 2 48 4" xfId="25878"/>
    <cellStyle name="Normal 9 2 3 2 48 5" xfId="30839"/>
    <cellStyle name="Normal 9 2 3 2 48 6" xfId="35697"/>
    <cellStyle name="Normal 9 2 3 2 48 7" xfId="40428"/>
    <cellStyle name="Normal 9 2 3 2 49" xfId="8311"/>
    <cellStyle name="Normal 9 2 3 2 49 2" xfId="15392"/>
    <cellStyle name="Normal 9 2 3 2 49 3" xfId="20509"/>
    <cellStyle name="Normal 9 2 3 2 49 4" xfId="25552"/>
    <cellStyle name="Normal 9 2 3 2 49 5" xfId="30513"/>
    <cellStyle name="Normal 9 2 3 2 49 6" xfId="35371"/>
    <cellStyle name="Normal 9 2 3 2 49 7" xfId="40102"/>
    <cellStyle name="Normal 9 2 3 2 5" xfId="4420"/>
    <cellStyle name="Normal 9 2 3 2 5 2" xfId="5835"/>
    <cellStyle name="Normal 9 2 3 2 5 3" xfId="17934"/>
    <cellStyle name="Normal 9 2 3 2 5 4" xfId="22977"/>
    <cellStyle name="Normal 9 2 3 2 5 5" xfId="27938"/>
    <cellStyle name="Normal 9 2 3 2 5 6" xfId="32796"/>
    <cellStyle name="Normal 9 2 3 2 5 7" xfId="37527"/>
    <cellStyle name="Normal 9 2 3 2 50" xfId="8283"/>
    <cellStyle name="Normal 9 2 3 2 50 2" xfId="15364"/>
    <cellStyle name="Normal 9 2 3 2 50 3" xfId="20481"/>
    <cellStyle name="Normal 9 2 3 2 50 4" xfId="25524"/>
    <cellStyle name="Normal 9 2 3 2 50 5" xfId="30485"/>
    <cellStyle name="Normal 9 2 3 2 50 6" xfId="35343"/>
    <cellStyle name="Normal 9 2 3 2 50 7" xfId="40074"/>
    <cellStyle name="Normal 9 2 3 2 51" xfId="8276"/>
    <cellStyle name="Normal 9 2 3 2 51 2" xfId="15357"/>
    <cellStyle name="Normal 9 2 3 2 51 3" xfId="20474"/>
    <cellStyle name="Normal 9 2 3 2 51 4" xfId="25517"/>
    <cellStyle name="Normal 9 2 3 2 51 5" xfId="30478"/>
    <cellStyle name="Normal 9 2 3 2 51 6" xfId="35336"/>
    <cellStyle name="Normal 9 2 3 2 51 7" xfId="40067"/>
    <cellStyle name="Normal 9 2 3 2 52" xfId="8284"/>
    <cellStyle name="Normal 9 2 3 2 52 2" xfId="15365"/>
    <cellStyle name="Normal 9 2 3 2 52 3" xfId="20482"/>
    <cellStyle name="Normal 9 2 3 2 52 4" xfId="25525"/>
    <cellStyle name="Normal 9 2 3 2 52 5" xfId="30486"/>
    <cellStyle name="Normal 9 2 3 2 52 6" xfId="35344"/>
    <cellStyle name="Normal 9 2 3 2 52 7" xfId="40075"/>
    <cellStyle name="Normal 9 2 3 2 53" xfId="8249"/>
    <cellStyle name="Normal 9 2 3 2 53 2" xfId="15330"/>
    <cellStyle name="Normal 9 2 3 2 53 3" xfId="20447"/>
    <cellStyle name="Normal 9 2 3 2 53 4" xfId="25490"/>
    <cellStyle name="Normal 9 2 3 2 53 5" xfId="30451"/>
    <cellStyle name="Normal 9 2 3 2 53 6" xfId="35309"/>
    <cellStyle name="Normal 9 2 3 2 53 7" xfId="40040"/>
    <cellStyle name="Normal 9 2 3 2 54" xfId="8388"/>
    <cellStyle name="Normal 9 2 3 2 54 2" xfId="15469"/>
    <cellStyle name="Normal 9 2 3 2 54 3" xfId="20586"/>
    <cellStyle name="Normal 9 2 3 2 54 4" xfId="25629"/>
    <cellStyle name="Normal 9 2 3 2 54 5" xfId="30590"/>
    <cellStyle name="Normal 9 2 3 2 54 6" xfId="35448"/>
    <cellStyle name="Normal 9 2 3 2 54 7" xfId="40179"/>
    <cellStyle name="Normal 9 2 3 2 55" xfId="8272"/>
    <cellStyle name="Normal 9 2 3 2 55 2" xfId="15353"/>
    <cellStyle name="Normal 9 2 3 2 55 3" xfId="20470"/>
    <cellStyle name="Normal 9 2 3 2 55 4" xfId="25513"/>
    <cellStyle name="Normal 9 2 3 2 55 5" xfId="30474"/>
    <cellStyle name="Normal 9 2 3 2 55 6" xfId="35332"/>
    <cellStyle name="Normal 9 2 3 2 55 7" xfId="40063"/>
    <cellStyle name="Normal 9 2 3 2 56" xfId="8810"/>
    <cellStyle name="Normal 9 2 3 2 56 2" xfId="15891"/>
    <cellStyle name="Normal 9 2 3 2 56 3" xfId="21008"/>
    <cellStyle name="Normal 9 2 3 2 56 4" xfId="26051"/>
    <cellStyle name="Normal 9 2 3 2 56 5" xfId="31012"/>
    <cellStyle name="Normal 9 2 3 2 56 6" xfId="35870"/>
    <cellStyle name="Normal 9 2 3 2 56 7" xfId="40601"/>
    <cellStyle name="Normal 9 2 3 2 57" xfId="8594"/>
    <cellStyle name="Normal 9 2 3 2 57 2" xfId="15675"/>
    <cellStyle name="Normal 9 2 3 2 57 3" xfId="20792"/>
    <cellStyle name="Normal 9 2 3 2 57 4" xfId="25835"/>
    <cellStyle name="Normal 9 2 3 2 57 5" xfId="30796"/>
    <cellStyle name="Normal 9 2 3 2 57 6" xfId="35654"/>
    <cellStyle name="Normal 9 2 3 2 57 7" xfId="40385"/>
    <cellStyle name="Normal 9 2 3 2 58" xfId="8495"/>
    <cellStyle name="Normal 9 2 3 2 58 2" xfId="15576"/>
    <cellStyle name="Normal 9 2 3 2 58 3" xfId="20693"/>
    <cellStyle name="Normal 9 2 3 2 58 4" xfId="25736"/>
    <cellStyle name="Normal 9 2 3 2 58 5" xfId="30697"/>
    <cellStyle name="Normal 9 2 3 2 58 6" xfId="35555"/>
    <cellStyle name="Normal 9 2 3 2 58 7" xfId="40286"/>
    <cellStyle name="Normal 9 2 3 2 59" xfId="8777"/>
    <cellStyle name="Normal 9 2 3 2 59 2" xfId="15858"/>
    <cellStyle name="Normal 9 2 3 2 59 3" xfId="20975"/>
    <cellStyle name="Normal 9 2 3 2 59 4" xfId="26018"/>
    <cellStyle name="Normal 9 2 3 2 59 5" xfId="30979"/>
    <cellStyle name="Normal 9 2 3 2 59 6" xfId="35837"/>
    <cellStyle name="Normal 9 2 3 2 59 7" xfId="40568"/>
    <cellStyle name="Normal 9 2 3 2 6" xfId="4476"/>
    <cellStyle name="Normal 9 2 3 2 6 2" xfId="5839"/>
    <cellStyle name="Normal 9 2 3 2 6 3" xfId="17939"/>
    <cellStyle name="Normal 9 2 3 2 6 4" xfId="22982"/>
    <cellStyle name="Normal 9 2 3 2 6 5" xfId="27943"/>
    <cellStyle name="Normal 9 2 3 2 6 6" xfId="32801"/>
    <cellStyle name="Normal 9 2 3 2 6 7" xfId="37532"/>
    <cellStyle name="Normal 9 2 3 2 60" xfId="8483"/>
    <cellStyle name="Normal 9 2 3 2 60 2" xfId="15564"/>
    <cellStyle name="Normal 9 2 3 2 60 3" xfId="20681"/>
    <cellStyle name="Normal 9 2 3 2 60 4" xfId="25724"/>
    <cellStyle name="Normal 9 2 3 2 60 5" xfId="30685"/>
    <cellStyle name="Normal 9 2 3 2 60 6" xfId="35543"/>
    <cellStyle name="Normal 9 2 3 2 60 7" xfId="40274"/>
    <cellStyle name="Normal 9 2 3 2 61" xfId="8464"/>
    <cellStyle name="Normal 9 2 3 2 61 2" xfId="15545"/>
    <cellStyle name="Normal 9 2 3 2 61 3" xfId="20662"/>
    <cellStyle name="Normal 9 2 3 2 61 4" xfId="25705"/>
    <cellStyle name="Normal 9 2 3 2 61 5" xfId="30666"/>
    <cellStyle name="Normal 9 2 3 2 61 6" xfId="35524"/>
    <cellStyle name="Normal 9 2 3 2 61 7" xfId="40255"/>
    <cellStyle name="Normal 9 2 3 2 62" xfId="8339"/>
    <cellStyle name="Normal 9 2 3 2 62 2" xfId="15420"/>
    <cellStyle name="Normal 9 2 3 2 62 3" xfId="20537"/>
    <cellStyle name="Normal 9 2 3 2 62 4" xfId="25580"/>
    <cellStyle name="Normal 9 2 3 2 62 5" xfId="30541"/>
    <cellStyle name="Normal 9 2 3 2 62 6" xfId="35399"/>
    <cellStyle name="Normal 9 2 3 2 62 7" xfId="40130"/>
    <cellStyle name="Normal 9 2 3 2 63" xfId="9397"/>
    <cellStyle name="Normal 9 2 3 2 63 2" xfId="16478"/>
    <cellStyle name="Normal 9 2 3 2 63 3" xfId="21595"/>
    <cellStyle name="Normal 9 2 3 2 63 4" xfId="26638"/>
    <cellStyle name="Normal 9 2 3 2 63 5" xfId="31599"/>
    <cellStyle name="Normal 9 2 3 2 63 6" xfId="36457"/>
    <cellStyle name="Normal 9 2 3 2 63 7" xfId="41188"/>
    <cellStyle name="Normal 9 2 3 2 64" xfId="9118"/>
    <cellStyle name="Normal 9 2 3 2 64 2" xfId="16199"/>
    <cellStyle name="Normal 9 2 3 2 64 3" xfId="21316"/>
    <cellStyle name="Normal 9 2 3 2 64 4" xfId="26359"/>
    <cellStyle name="Normal 9 2 3 2 64 5" xfId="31320"/>
    <cellStyle name="Normal 9 2 3 2 64 6" xfId="36178"/>
    <cellStyle name="Normal 9 2 3 2 64 7" xfId="40909"/>
    <cellStyle name="Normal 9 2 3 2 65" xfId="9095"/>
    <cellStyle name="Normal 9 2 3 2 65 2" xfId="16176"/>
    <cellStyle name="Normal 9 2 3 2 65 3" xfId="21293"/>
    <cellStyle name="Normal 9 2 3 2 65 4" xfId="26336"/>
    <cellStyle name="Normal 9 2 3 2 65 5" xfId="31297"/>
    <cellStyle name="Normal 9 2 3 2 65 6" xfId="36155"/>
    <cellStyle name="Normal 9 2 3 2 65 7" xfId="40886"/>
    <cellStyle name="Normal 9 2 3 2 66" xfId="9092"/>
    <cellStyle name="Normal 9 2 3 2 66 2" xfId="16173"/>
    <cellStyle name="Normal 9 2 3 2 66 3" xfId="21290"/>
    <cellStyle name="Normal 9 2 3 2 66 4" xfId="26333"/>
    <cellStyle name="Normal 9 2 3 2 66 5" xfId="31294"/>
    <cellStyle name="Normal 9 2 3 2 66 6" xfId="36152"/>
    <cellStyle name="Normal 9 2 3 2 66 7" xfId="40883"/>
    <cellStyle name="Normal 9 2 3 2 67" xfId="9096"/>
    <cellStyle name="Normal 9 2 3 2 67 2" xfId="16177"/>
    <cellStyle name="Normal 9 2 3 2 67 3" xfId="21294"/>
    <cellStyle name="Normal 9 2 3 2 67 4" xfId="26337"/>
    <cellStyle name="Normal 9 2 3 2 67 5" xfId="31298"/>
    <cellStyle name="Normal 9 2 3 2 67 6" xfId="36156"/>
    <cellStyle name="Normal 9 2 3 2 67 7" xfId="40887"/>
    <cellStyle name="Normal 9 2 3 2 68" xfId="9074"/>
    <cellStyle name="Normal 9 2 3 2 68 2" xfId="16155"/>
    <cellStyle name="Normal 9 2 3 2 68 3" xfId="21272"/>
    <cellStyle name="Normal 9 2 3 2 68 4" xfId="26315"/>
    <cellStyle name="Normal 9 2 3 2 68 5" xfId="31276"/>
    <cellStyle name="Normal 9 2 3 2 68 6" xfId="36134"/>
    <cellStyle name="Normal 9 2 3 2 68 7" xfId="40865"/>
    <cellStyle name="Normal 9 2 3 2 69" xfId="9187"/>
    <cellStyle name="Normal 9 2 3 2 69 2" xfId="16268"/>
    <cellStyle name="Normal 9 2 3 2 69 3" xfId="21385"/>
    <cellStyle name="Normal 9 2 3 2 69 4" xfId="26428"/>
    <cellStyle name="Normal 9 2 3 2 69 5" xfId="31389"/>
    <cellStyle name="Normal 9 2 3 2 69 6" xfId="36247"/>
    <cellStyle name="Normal 9 2 3 2 69 7" xfId="40978"/>
    <cellStyle name="Normal 9 2 3 2 7" xfId="4585"/>
    <cellStyle name="Normal 9 2 3 2 7 2" xfId="5815"/>
    <cellStyle name="Normal 9 2 3 2 7 3" xfId="17913"/>
    <cellStyle name="Normal 9 2 3 2 7 4" xfId="22956"/>
    <cellStyle name="Normal 9 2 3 2 7 5" xfId="27917"/>
    <cellStyle name="Normal 9 2 3 2 7 6" xfId="32775"/>
    <cellStyle name="Normal 9 2 3 2 7 7" xfId="37506"/>
    <cellStyle name="Normal 9 2 3 2 70" xfId="9560"/>
    <cellStyle name="Normal 9 2 3 2 70 2" xfId="16641"/>
    <cellStyle name="Normal 9 2 3 2 70 3" xfId="21758"/>
    <cellStyle name="Normal 9 2 3 2 70 4" xfId="26801"/>
    <cellStyle name="Normal 9 2 3 2 70 5" xfId="31762"/>
    <cellStyle name="Normal 9 2 3 2 70 6" xfId="36620"/>
    <cellStyle name="Normal 9 2 3 2 70 7" xfId="41351"/>
    <cellStyle name="Normal 9 2 3 2 71" xfId="9308"/>
    <cellStyle name="Normal 9 2 3 2 71 2" xfId="16389"/>
    <cellStyle name="Normal 9 2 3 2 71 3" xfId="21506"/>
    <cellStyle name="Normal 9 2 3 2 71 4" xfId="26549"/>
    <cellStyle name="Normal 9 2 3 2 71 5" xfId="31510"/>
    <cellStyle name="Normal 9 2 3 2 71 6" xfId="36368"/>
    <cellStyle name="Normal 9 2 3 2 71 7" xfId="41099"/>
    <cellStyle name="Normal 9 2 3 2 72" xfId="9582"/>
    <cellStyle name="Normal 9 2 3 2 72 2" xfId="16663"/>
    <cellStyle name="Normal 9 2 3 2 72 3" xfId="21780"/>
    <cellStyle name="Normal 9 2 3 2 72 4" xfId="26823"/>
    <cellStyle name="Normal 9 2 3 2 72 5" xfId="31784"/>
    <cellStyle name="Normal 9 2 3 2 72 6" xfId="36642"/>
    <cellStyle name="Normal 9 2 3 2 72 7" xfId="41373"/>
    <cellStyle name="Normal 9 2 3 2 73" xfId="9103"/>
    <cellStyle name="Normal 9 2 3 2 73 2" xfId="16184"/>
    <cellStyle name="Normal 9 2 3 2 73 3" xfId="21301"/>
    <cellStyle name="Normal 9 2 3 2 73 4" xfId="26344"/>
    <cellStyle name="Normal 9 2 3 2 73 5" xfId="31305"/>
    <cellStyle name="Normal 9 2 3 2 73 6" xfId="36163"/>
    <cellStyle name="Normal 9 2 3 2 73 7" xfId="40894"/>
    <cellStyle name="Normal 9 2 3 2 74" xfId="9238"/>
    <cellStyle name="Normal 9 2 3 2 74 2" xfId="16319"/>
    <cellStyle name="Normal 9 2 3 2 74 3" xfId="21436"/>
    <cellStyle name="Normal 9 2 3 2 74 4" xfId="26479"/>
    <cellStyle name="Normal 9 2 3 2 74 5" xfId="31440"/>
    <cellStyle name="Normal 9 2 3 2 74 6" xfId="36298"/>
    <cellStyle name="Normal 9 2 3 2 74 7" xfId="41029"/>
    <cellStyle name="Normal 9 2 3 2 75" xfId="9892"/>
    <cellStyle name="Normal 9 2 3 2 75 2" xfId="16973"/>
    <cellStyle name="Normal 9 2 3 2 75 3" xfId="22090"/>
    <cellStyle name="Normal 9 2 3 2 75 4" xfId="27133"/>
    <cellStyle name="Normal 9 2 3 2 75 5" xfId="32094"/>
    <cellStyle name="Normal 9 2 3 2 75 6" xfId="36952"/>
    <cellStyle name="Normal 9 2 3 2 75 7" xfId="41683"/>
    <cellStyle name="Normal 9 2 3 2 76" xfId="9751"/>
    <cellStyle name="Normal 9 2 3 2 76 2" xfId="16832"/>
    <cellStyle name="Normal 9 2 3 2 76 3" xfId="21949"/>
    <cellStyle name="Normal 9 2 3 2 76 4" xfId="26992"/>
    <cellStyle name="Normal 9 2 3 2 76 5" xfId="31953"/>
    <cellStyle name="Normal 9 2 3 2 76 6" xfId="36811"/>
    <cellStyle name="Normal 9 2 3 2 76 7" xfId="41542"/>
    <cellStyle name="Normal 9 2 3 2 77" xfId="9737"/>
    <cellStyle name="Normal 9 2 3 2 77 2" xfId="16818"/>
    <cellStyle name="Normal 9 2 3 2 77 3" xfId="21935"/>
    <cellStyle name="Normal 9 2 3 2 77 4" xfId="26978"/>
    <cellStyle name="Normal 9 2 3 2 77 5" xfId="31939"/>
    <cellStyle name="Normal 9 2 3 2 77 6" xfId="36797"/>
    <cellStyle name="Normal 9 2 3 2 77 7" xfId="41528"/>
    <cellStyle name="Normal 9 2 3 2 78" xfId="9735"/>
    <cellStyle name="Normal 9 2 3 2 78 2" xfId="16816"/>
    <cellStyle name="Normal 9 2 3 2 78 3" xfId="21933"/>
    <cellStyle name="Normal 9 2 3 2 78 4" xfId="26976"/>
    <cellStyle name="Normal 9 2 3 2 78 5" xfId="31937"/>
    <cellStyle name="Normal 9 2 3 2 78 6" xfId="36795"/>
    <cellStyle name="Normal 9 2 3 2 78 7" xfId="41526"/>
    <cellStyle name="Normal 9 2 3 2 79" xfId="9738"/>
    <cellStyle name="Normal 9 2 3 2 79 2" xfId="16819"/>
    <cellStyle name="Normal 9 2 3 2 79 3" xfId="21936"/>
    <cellStyle name="Normal 9 2 3 2 79 4" xfId="26979"/>
    <cellStyle name="Normal 9 2 3 2 79 5" xfId="31940"/>
    <cellStyle name="Normal 9 2 3 2 79 6" xfId="36798"/>
    <cellStyle name="Normal 9 2 3 2 79 7" xfId="41529"/>
    <cellStyle name="Normal 9 2 3 2 8" xfId="4507"/>
    <cellStyle name="Normal 9 2 3 2 8 2" xfId="5958"/>
    <cellStyle name="Normal 9 2 3 2 8 3" xfId="18060"/>
    <cellStyle name="Normal 9 2 3 2 8 4" xfId="23103"/>
    <cellStyle name="Normal 9 2 3 2 8 5" xfId="28064"/>
    <cellStyle name="Normal 9 2 3 2 8 6" xfId="32922"/>
    <cellStyle name="Normal 9 2 3 2 8 7" xfId="37653"/>
    <cellStyle name="Normal 9 2 3 2 80" xfId="9725"/>
    <cellStyle name="Normal 9 2 3 2 80 2" xfId="16806"/>
    <cellStyle name="Normal 9 2 3 2 80 3" xfId="21923"/>
    <cellStyle name="Normal 9 2 3 2 80 4" xfId="26966"/>
    <cellStyle name="Normal 9 2 3 2 80 5" xfId="31927"/>
    <cellStyle name="Normal 9 2 3 2 80 6" xfId="36785"/>
    <cellStyle name="Normal 9 2 3 2 80 7" xfId="41516"/>
    <cellStyle name="Normal 9 2 3 2 81" xfId="10222"/>
    <cellStyle name="Normal 9 2 3 2 81 2" xfId="17303"/>
    <cellStyle name="Normal 9 2 3 2 81 3" xfId="22420"/>
    <cellStyle name="Normal 9 2 3 2 81 4" xfId="27463"/>
    <cellStyle name="Normal 9 2 3 2 81 5" xfId="32424"/>
    <cellStyle name="Normal 9 2 3 2 81 6" xfId="37282"/>
    <cellStyle name="Normal 9 2 3 2 81 7" xfId="42013"/>
    <cellStyle name="Normal 9 2 3 2 82" xfId="10081"/>
    <cellStyle name="Normal 9 2 3 2 82 2" xfId="17162"/>
    <cellStyle name="Normal 9 2 3 2 82 3" xfId="22279"/>
    <cellStyle name="Normal 9 2 3 2 82 4" xfId="27322"/>
    <cellStyle name="Normal 9 2 3 2 82 5" xfId="32283"/>
    <cellStyle name="Normal 9 2 3 2 82 6" xfId="37141"/>
    <cellStyle name="Normal 9 2 3 2 82 7" xfId="41872"/>
    <cellStyle name="Normal 9 2 3 2 83" xfId="10067"/>
    <cellStyle name="Normal 9 2 3 2 83 2" xfId="17148"/>
    <cellStyle name="Normal 9 2 3 2 83 3" xfId="22265"/>
    <cellStyle name="Normal 9 2 3 2 83 4" xfId="27308"/>
    <cellStyle name="Normal 9 2 3 2 83 5" xfId="32269"/>
    <cellStyle name="Normal 9 2 3 2 83 6" xfId="37127"/>
    <cellStyle name="Normal 9 2 3 2 83 7" xfId="41858"/>
    <cellStyle name="Normal 9 2 3 2 84" xfId="10065"/>
    <cellStyle name="Normal 9 2 3 2 84 2" xfId="17146"/>
    <cellStyle name="Normal 9 2 3 2 84 3" xfId="22263"/>
    <cellStyle name="Normal 9 2 3 2 84 4" xfId="27306"/>
    <cellStyle name="Normal 9 2 3 2 84 5" xfId="32267"/>
    <cellStyle name="Normal 9 2 3 2 84 6" xfId="37125"/>
    <cellStyle name="Normal 9 2 3 2 84 7" xfId="41856"/>
    <cellStyle name="Normal 9 2 3 2 85" xfId="10068"/>
    <cellStyle name="Normal 9 2 3 2 85 2" xfId="17149"/>
    <cellStyle name="Normal 9 2 3 2 85 3" xfId="22266"/>
    <cellStyle name="Normal 9 2 3 2 85 4" xfId="27309"/>
    <cellStyle name="Normal 9 2 3 2 85 5" xfId="32270"/>
    <cellStyle name="Normal 9 2 3 2 85 6" xfId="37128"/>
    <cellStyle name="Normal 9 2 3 2 85 7" xfId="41859"/>
    <cellStyle name="Normal 9 2 3 2 86" xfId="10055"/>
    <cellStyle name="Normal 9 2 3 2 86 2" xfId="17136"/>
    <cellStyle name="Normal 9 2 3 2 86 3" xfId="22253"/>
    <cellStyle name="Normal 9 2 3 2 86 4" xfId="27296"/>
    <cellStyle name="Normal 9 2 3 2 86 5" xfId="32257"/>
    <cellStyle name="Normal 9 2 3 2 86 6" xfId="37115"/>
    <cellStyle name="Normal 9 2 3 2 86 7" xfId="41846"/>
    <cellStyle name="Normal 9 2 3 2 87" xfId="13052"/>
    <cellStyle name="Normal 9 2 3 2 88" xfId="12053"/>
    <cellStyle name="Normal 9 2 3 2 89" xfId="13918"/>
    <cellStyle name="Normal 9 2 3 2 9" xfId="4567"/>
    <cellStyle name="Normal 9 2 3 2 9 2" xfId="6436"/>
    <cellStyle name="Normal 9 2 3 2 9 3" xfId="18546"/>
    <cellStyle name="Normal 9 2 3 2 9 4" xfId="23589"/>
    <cellStyle name="Normal 9 2 3 2 9 5" xfId="28550"/>
    <cellStyle name="Normal 9 2 3 2 9 6" xfId="33408"/>
    <cellStyle name="Normal 9 2 3 2 9 7" xfId="38139"/>
    <cellStyle name="Normal 9 2 3 2 90" xfId="17649"/>
    <cellStyle name="Normal 9 2 3 2 91" xfId="22732"/>
    <cellStyle name="Normal 9 2 3 2 92" xfId="27739"/>
    <cellStyle name="Normal 9 2 3 3" xfId="12355"/>
    <cellStyle name="Normal 9 2 3 4" xfId="11983"/>
    <cellStyle name="Normal 9 2 3 5" xfId="13739"/>
    <cellStyle name="Normal 9 2 3 6" xfId="17487"/>
    <cellStyle name="Normal 9 2 3 7" xfId="22597"/>
    <cellStyle name="Normal 9 2 3 8" xfId="27635"/>
    <cellStyle name="Normal 9 2 30" xfId="5755"/>
    <cellStyle name="Normal 9 2 30 2" xfId="14256"/>
    <cellStyle name="Normal 9 2 30 3" xfId="19073"/>
    <cellStyle name="Normal 9 2 30 4" xfId="24116"/>
    <cellStyle name="Normal 9 2 30 5" xfId="29077"/>
    <cellStyle name="Normal 9 2 30 6" xfId="33935"/>
    <cellStyle name="Normal 9 2 30 7" xfId="38666"/>
    <cellStyle name="Normal 9 2 31" xfId="6886"/>
    <cellStyle name="Normal 9 2 31 2" xfId="14221"/>
    <cellStyle name="Normal 9 2 31 3" xfId="19008"/>
    <cellStyle name="Normal 9 2 31 4" xfId="24051"/>
    <cellStyle name="Normal 9 2 31 5" xfId="29012"/>
    <cellStyle name="Normal 9 2 31 6" xfId="33870"/>
    <cellStyle name="Normal 9 2 31 7" xfId="38601"/>
    <cellStyle name="Normal 9 2 32" xfId="7006"/>
    <cellStyle name="Normal 9 2 32 2" xfId="14296"/>
    <cellStyle name="Normal 9 2 32 3" xfId="19145"/>
    <cellStyle name="Normal 9 2 32 4" xfId="24188"/>
    <cellStyle name="Normal 9 2 32 5" xfId="29149"/>
    <cellStyle name="Normal 9 2 32 6" xfId="34007"/>
    <cellStyle name="Normal 9 2 32 7" xfId="38738"/>
    <cellStyle name="Normal 9 2 33" xfId="7059"/>
    <cellStyle name="Normal 9 2 33 2" xfId="14324"/>
    <cellStyle name="Normal 9 2 33 3" xfId="19203"/>
    <cellStyle name="Normal 9 2 33 4" xfId="24246"/>
    <cellStyle name="Normal 9 2 33 5" xfId="29207"/>
    <cellStyle name="Normal 9 2 33 6" xfId="34065"/>
    <cellStyle name="Normal 9 2 33 7" xfId="38796"/>
    <cellStyle name="Normal 9 2 34" xfId="7125"/>
    <cellStyle name="Normal 9 2 34 2" xfId="14359"/>
    <cellStyle name="Normal 9 2 34 3" xfId="19274"/>
    <cellStyle name="Normal 9 2 34 4" xfId="24317"/>
    <cellStyle name="Normal 9 2 34 5" xfId="29278"/>
    <cellStyle name="Normal 9 2 34 6" xfId="34136"/>
    <cellStyle name="Normal 9 2 34 7" xfId="38867"/>
    <cellStyle name="Normal 9 2 35" xfId="7108"/>
    <cellStyle name="Normal 9 2 35 2" xfId="14348"/>
    <cellStyle name="Normal 9 2 35 3" xfId="19254"/>
    <cellStyle name="Normal 9 2 35 4" xfId="24297"/>
    <cellStyle name="Normal 9 2 35 5" xfId="29258"/>
    <cellStyle name="Normal 9 2 35 6" xfId="34116"/>
    <cellStyle name="Normal 9 2 35 7" xfId="38847"/>
    <cellStyle name="Normal 9 2 36" xfId="7647"/>
    <cellStyle name="Normal 9 2 36 2" xfId="14727"/>
    <cellStyle name="Normal 9 2 36 3" xfId="19844"/>
    <cellStyle name="Normal 9 2 36 4" xfId="24887"/>
    <cellStyle name="Normal 9 2 36 5" xfId="29848"/>
    <cellStyle name="Normal 9 2 36 6" xfId="34706"/>
    <cellStyle name="Normal 9 2 36 7" xfId="39437"/>
    <cellStyle name="Normal 9 2 37" xfId="7771"/>
    <cellStyle name="Normal 9 2 37 2" xfId="14851"/>
    <cellStyle name="Normal 9 2 37 3" xfId="19968"/>
    <cellStyle name="Normal 9 2 37 4" xfId="25011"/>
    <cellStyle name="Normal 9 2 37 5" xfId="29972"/>
    <cellStyle name="Normal 9 2 37 6" xfId="34830"/>
    <cellStyle name="Normal 9 2 37 7" xfId="39561"/>
    <cellStyle name="Normal 9 2 38" xfId="7775"/>
    <cellStyle name="Normal 9 2 38 2" xfId="14855"/>
    <cellStyle name="Normal 9 2 38 3" xfId="19972"/>
    <cellStyle name="Normal 9 2 38 4" xfId="25015"/>
    <cellStyle name="Normal 9 2 38 5" xfId="29976"/>
    <cellStyle name="Normal 9 2 38 6" xfId="34834"/>
    <cellStyle name="Normal 9 2 38 7" xfId="39565"/>
    <cellStyle name="Normal 9 2 39" xfId="7623"/>
    <cellStyle name="Normal 9 2 39 2" xfId="14703"/>
    <cellStyle name="Normal 9 2 39 3" xfId="19820"/>
    <cellStyle name="Normal 9 2 39 4" xfId="24863"/>
    <cellStyle name="Normal 9 2 39 5" xfId="29824"/>
    <cellStyle name="Normal 9 2 39 6" xfId="34682"/>
    <cellStyle name="Normal 9 2 39 7" xfId="39413"/>
    <cellStyle name="Normal 9 2 4" xfId="4245"/>
    <cellStyle name="Normal 9 2 4 2" xfId="5999"/>
    <cellStyle name="Normal 9 2 4 3" xfId="18102"/>
    <cellStyle name="Normal 9 2 4 4" xfId="23145"/>
    <cellStyle name="Normal 9 2 4 5" xfId="28106"/>
    <cellStyle name="Normal 9 2 4 6" xfId="32964"/>
    <cellStyle name="Normal 9 2 4 7" xfId="37695"/>
    <cellStyle name="Normal 9 2 40" xfId="7892"/>
    <cellStyle name="Normal 9 2 40 2" xfId="14972"/>
    <cellStyle name="Normal 9 2 40 3" xfId="20089"/>
    <cellStyle name="Normal 9 2 40 4" xfId="25132"/>
    <cellStyle name="Normal 9 2 40 5" xfId="30093"/>
    <cellStyle name="Normal 9 2 40 6" xfId="34951"/>
    <cellStyle name="Normal 9 2 40 7" xfId="39682"/>
    <cellStyle name="Normal 9 2 41" xfId="7917"/>
    <cellStyle name="Normal 9 2 41 2" xfId="14997"/>
    <cellStyle name="Normal 9 2 41 3" xfId="20114"/>
    <cellStyle name="Normal 9 2 41 4" xfId="25157"/>
    <cellStyle name="Normal 9 2 41 5" xfId="30118"/>
    <cellStyle name="Normal 9 2 41 6" xfId="34976"/>
    <cellStyle name="Normal 9 2 41 7" xfId="39707"/>
    <cellStyle name="Normal 9 2 42" xfId="7547"/>
    <cellStyle name="Normal 9 2 42 2" xfId="14625"/>
    <cellStyle name="Normal 9 2 42 3" xfId="19742"/>
    <cellStyle name="Normal 9 2 42 4" xfId="24785"/>
    <cellStyle name="Normal 9 2 42 5" xfId="29746"/>
    <cellStyle name="Normal 9 2 42 6" xfId="34604"/>
    <cellStyle name="Normal 9 2 42 7" xfId="39335"/>
    <cellStyle name="Normal 9 2 43" xfId="7476"/>
    <cellStyle name="Normal 9 2 43 2" xfId="14551"/>
    <cellStyle name="Normal 9 2 43 3" xfId="19668"/>
    <cellStyle name="Normal 9 2 43 4" xfId="24711"/>
    <cellStyle name="Normal 9 2 43 5" xfId="29672"/>
    <cellStyle name="Normal 9 2 43 6" xfId="34530"/>
    <cellStyle name="Normal 9 2 43 7" xfId="39261"/>
    <cellStyle name="Normal 9 2 44" xfId="7631"/>
    <cellStyle name="Normal 9 2 44 2" xfId="14711"/>
    <cellStyle name="Normal 9 2 44 3" xfId="19828"/>
    <cellStyle name="Normal 9 2 44 4" xfId="24871"/>
    <cellStyle name="Normal 9 2 44 5" xfId="29832"/>
    <cellStyle name="Normal 9 2 44 6" xfId="34690"/>
    <cellStyle name="Normal 9 2 44 7" xfId="39421"/>
    <cellStyle name="Normal 9 2 45" xfId="7696"/>
    <cellStyle name="Normal 9 2 45 2" xfId="14776"/>
    <cellStyle name="Normal 9 2 45 3" xfId="19893"/>
    <cellStyle name="Normal 9 2 45 4" xfId="24936"/>
    <cellStyle name="Normal 9 2 45 5" xfId="29897"/>
    <cellStyle name="Normal 9 2 45 6" xfId="34755"/>
    <cellStyle name="Normal 9 2 45 7" xfId="39486"/>
    <cellStyle name="Normal 9 2 46" xfId="7774"/>
    <cellStyle name="Normal 9 2 46 2" xfId="14854"/>
    <cellStyle name="Normal 9 2 46 3" xfId="19971"/>
    <cellStyle name="Normal 9 2 46 4" xfId="25014"/>
    <cellStyle name="Normal 9 2 46 5" xfId="29975"/>
    <cellStyle name="Normal 9 2 46 6" xfId="34833"/>
    <cellStyle name="Normal 9 2 46 7" xfId="39564"/>
    <cellStyle name="Normal 9 2 47" xfId="7751"/>
    <cellStyle name="Normal 9 2 47 2" xfId="14831"/>
    <cellStyle name="Normal 9 2 47 3" xfId="19948"/>
    <cellStyle name="Normal 9 2 47 4" xfId="24991"/>
    <cellStyle name="Normal 9 2 47 5" xfId="29952"/>
    <cellStyle name="Normal 9 2 47 6" xfId="34810"/>
    <cellStyle name="Normal 9 2 47 7" xfId="39541"/>
    <cellStyle name="Normal 9 2 48" xfId="7602"/>
    <cellStyle name="Normal 9 2 48 2" xfId="14682"/>
    <cellStyle name="Normal 9 2 48 3" xfId="19799"/>
    <cellStyle name="Normal 9 2 48 4" xfId="24842"/>
    <cellStyle name="Normal 9 2 48 5" xfId="29803"/>
    <cellStyle name="Normal 9 2 48 6" xfId="34661"/>
    <cellStyle name="Normal 9 2 48 7" xfId="39392"/>
    <cellStyle name="Normal 9 2 49" xfId="8013"/>
    <cellStyle name="Normal 9 2 49 2" xfId="15093"/>
    <cellStyle name="Normal 9 2 49 3" xfId="20210"/>
    <cellStyle name="Normal 9 2 49 4" xfId="25253"/>
    <cellStyle name="Normal 9 2 49 5" xfId="30214"/>
    <cellStyle name="Normal 9 2 49 6" xfId="35072"/>
    <cellStyle name="Normal 9 2 49 7" xfId="39803"/>
    <cellStyle name="Normal 9 2 5" xfId="4326"/>
    <cellStyle name="Normal 9 2 5 2" xfId="6135"/>
    <cellStyle name="Normal 9 2 5 3" xfId="18239"/>
    <cellStyle name="Normal 9 2 5 4" xfId="23282"/>
    <cellStyle name="Normal 9 2 5 5" xfId="28243"/>
    <cellStyle name="Normal 9 2 5 6" xfId="33101"/>
    <cellStyle name="Normal 9 2 5 7" xfId="37832"/>
    <cellStyle name="Normal 9 2 50" xfId="8419"/>
    <cellStyle name="Normal 9 2 50 2" xfId="15500"/>
    <cellStyle name="Normal 9 2 50 3" xfId="20617"/>
    <cellStyle name="Normal 9 2 50 4" xfId="25660"/>
    <cellStyle name="Normal 9 2 50 5" xfId="30621"/>
    <cellStyle name="Normal 9 2 50 6" xfId="35479"/>
    <cellStyle name="Normal 9 2 50 7" xfId="40210"/>
    <cellStyle name="Normal 9 2 51" xfId="8558"/>
    <cellStyle name="Normal 9 2 51 2" xfId="15639"/>
    <cellStyle name="Normal 9 2 51 3" xfId="20756"/>
    <cellStyle name="Normal 9 2 51 4" xfId="25799"/>
    <cellStyle name="Normal 9 2 51 5" xfId="30760"/>
    <cellStyle name="Normal 9 2 51 6" xfId="35618"/>
    <cellStyle name="Normal 9 2 51 7" xfId="40349"/>
    <cellStyle name="Normal 9 2 52" xfId="8561"/>
    <cellStyle name="Normal 9 2 52 2" xfId="15642"/>
    <cellStyle name="Normal 9 2 52 3" xfId="20759"/>
    <cellStyle name="Normal 9 2 52 4" xfId="25802"/>
    <cellStyle name="Normal 9 2 52 5" xfId="30763"/>
    <cellStyle name="Normal 9 2 52 6" xfId="35621"/>
    <cellStyle name="Normal 9 2 52 7" xfId="40352"/>
    <cellStyle name="Normal 9 2 53" xfId="8396"/>
    <cellStyle name="Normal 9 2 53 2" xfId="15477"/>
    <cellStyle name="Normal 9 2 53 3" xfId="20594"/>
    <cellStyle name="Normal 9 2 53 4" xfId="25637"/>
    <cellStyle name="Normal 9 2 53 5" xfId="30598"/>
    <cellStyle name="Normal 9 2 53 6" xfId="35456"/>
    <cellStyle name="Normal 9 2 53 7" xfId="40187"/>
    <cellStyle name="Normal 9 2 54" xfId="8694"/>
    <cellStyle name="Normal 9 2 54 2" xfId="15775"/>
    <cellStyle name="Normal 9 2 54 3" xfId="20892"/>
    <cellStyle name="Normal 9 2 54 4" xfId="25935"/>
    <cellStyle name="Normal 9 2 54 5" xfId="30896"/>
    <cellStyle name="Normal 9 2 54 6" xfId="35754"/>
    <cellStyle name="Normal 9 2 54 7" xfId="40485"/>
    <cellStyle name="Normal 9 2 55" xfId="8716"/>
    <cellStyle name="Normal 9 2 55 2" xfId="15797"/>
    <cellStyle name="Normal 9 2 55 3" xfId="20914"/>
    <cellStyle name="Normal 9 2 55 4" xfId="25957"/>
    <cellStyle name="Normal 9 2 55 5" xfId="30918"/>
    <cellStyle name="Normal 9 2 55 6" xfId="35776"/>
    <cellStyle name="Normal 9 2 55 7" xfId="40507"/>
    <cellStyle name="Normal 9 2 56" xfId="8327"/>
    <cellStyle name="Normal 9 2 56 2" xfId="15408"/>
    <cellStyle name="Normal 9 2 56 3" xfId="20525"/>
    <cellStyle name="Normal 9 2 56 4" xfId="25568"/>
    <cellStyle name="Normal 9 2 56 5" xfId="30529"/>
    <cellStyle name="Normal 9 2 56 6" xfId="35387"/>
    <cellStyle name="Normal 9 2 56 7" xfId="40118"/>
    <cellStyle name="Normal 9 2 57" xfId="8683"/>
    <cellStyle name="Normal 9 2 57 2" xfId="15764"/>
    <cellStyle name="Normal 9 2 57 3" xfId="20881"/>
    <cellStyle name="Normal 9 2 57 4" xfId="25924"/>
    <cellStyle name="Normal 9 2 57 5" xfId="30885"/>
    <cellStyle name="Normal 9 2 57 6" xfId="35743"/>
    <cellStyle name="Normal 9 2 57 7" xfId="40474"/>
    <cellStyle name="Normal 9 2 58" xfId="8806"/>
    <cellStyle name="Normal 9 2 58 2" xfId="15887"/>
    <cellStyle name="Normal 9 2 58 3" xfId="21004"/>
    <cellStyle name="Normal 9 2 58 4" xfId="26047"/>
    <cellStyle name="Normal 9 2 58 5" xfId="31008"/>
    <cellStyle name="Normal 9 2 58 6" xfId="35866"/>
    <cellStyle name="Normal 9 2 58 7" xfId="40597"/>
    <cellStyle name="Normal 9 2 59" xfId="8841"/>
    <cellStyle name="Normal 9 2 59 2" xfId="15922"/>
    <cellStyle name="Normal 9 2 59 3" xfId="21039"/>
    <cellStyle name="Normal 9 2 59 4" xfId="26082"/>
    <cellStyle name="Normal 9 2 59 5" xfId="31043"/>
    <cellStyle name="Normal 9 2 59 6" xfId="35901"/>
    <cellStyle name="Normal 9 2 59 7" xfId="40632"/>
    <cellStyle name="Normal 9 2 6" xfId="4228"/>
    <cellStyle name="Normal 9 2 6 2" xfId="6141"/>
    <cellStyle name="Normal 9 2 6 3" xfId="18245"/>
    <cellStyle name="Normal 9 2 6 4" xfId="23288"/>
    <cellStyle name="Normal 9 2 6 5" xfId="28249"/>
    <cellStyle name="Normal 9 2 6 6" xfId="33107"/>
    <cellStyle name="Normal 9 2 6 7" xfId="37838"/>
    <cellStyle name="Normal 9 2 60" xfId="8646"/>
    <cellStyle name="Normal 9 2 60 2" xfId="15727"/>
    <cellStyle name="Normal 9 2 60 3" xfId="20844"/>
    <cellStyle name="Normal 9 2 60 4" xfId="25887"/>
    <cellStyle name="Normal 9 2 60 5" xfId="30848"/>
    <cellStyle name="Normal 9 2 60 6" xfId="35706"/>
    <cellStyle name="Normal 9 2 60 7" xfId="40437"/>
    <cellStyle name="Normal 9 2 61" xfId="8331"/>
    <cellStyle name="Normal 9 2 61 2" xfId="15412"/>
    <cellStyle name="Normal 9 2 61 3" xfId="20529"/>
    <cellStyle name="Normal 9 2 61 4" xfId="25572"/>
    <cellStyle name="Normal 9 2 61 5" xfId="30533"/>
    <cellStyle name="Normal 9 2 61 6" xfId="35391"/>
    <cellStyle name="Normal 9 2 61 7" xfId="40122"/>
    <cellStyle name="Normal 9 2 62" xfId="8722"/>
    <cellStyle name="Normal 9 2 62 2" xfId="15803"/>
    <cellStyle name="Normal 9 2 62 3" xfId="20920"/>
    <cellStyle name="Normal 9 2 62 4" xfId="25963"/>
    <cellStyle name="Normal 9 2 62 5" xfId="30924"/>
    <cellStyle name="Normal 9 2 62 6" xfId="35782"/>
    <cellStyle name="Normal 9 2 62 7" xfId="40513"/>
    <cellStyle name="Normal 9 2 63" xfId="8376"/>
    <cellStyle name="Normal 9 2 63 2" xfId="15457"/>
    <cellStyle name="Normal 9 2 63 3" xfId="20574"/>
    <cellStyle name="Normal 9 2 63 4" xfId="25617"/>
    <cellStyle name="Normal 9 2 63 5" xfId="30578"/>
    <cellStyle name="Normal 9 2 63 6" xfId="35436"/>
    <cellStyle name="Normal 9 2 63 7" xfId="40167"/>
    <cellStyle name="Normal 9 2 64" xfId="8654"/>
    <cellStyle name="Normal 9 2 64 2" xfId="15735"/>
    <cellStyle name="Normal 9 2 64 3" xfId="20852"/>
    <cellStyle name="Normal 9 2 64 4" xfId="25895"/>
    <cellStyle name="Normal 9 2 64 5" xfId="30856"/>
    <cellStyle name="Normal 9 2 64 6" xfId="35714"/>
    <cellStyle name="Normal 9 2 64 7" xfId="40445"/>
    <cellStyle name="Normal 9 2 65" xfId="9219"/>
    <cellStyle name="Normal 9 2 65 2" xfId="16300"/>
    <cellStyle name="Normal 9 2 65 3" xfId="21417"/>
    <cellStyle name="Normal 9 2 65 4" xfId="26460"/>
    <cellStyle name="Normal 9 2 65 5" xfId="31421"/>
    <cellStyle name="Normal 9 2 65 6" xfId="36279"/>
    <cellStyle name="Normal 9 2 65 7" xfId="41010"/>
    <cellStyle name="Normal 9 2 66" xfId="9331"/>
    <cellStyle name="Normal 9 2 66 2" xfId="16412"/>
    <cellStyle name="Normal 9 2 66 3" xfId="21529"/>
    <cellStyle name="Normal 9 2 66 4" xfId="26572"/>
    <cellStyle name="Normal 9 2 66 5" xfId="31533"/>
    <cellStyle name="Normal 9 2 66 6" xfId="36391"/>
    <cellStyle name="Normal 9 2 66 7" xfId="41122"/>
    <cellStyle name="Normal 9 2 67" xfId="9335"/>
    <cellStyle name="Normal 9 2 67 2" xfId="16416"/>
    <cellStyle name="Normal 9 2 67 3" xfId="21533"/>
    <cellStyle name="Normal 9 2 67 4" xfId="26576"/>
    <cellStyle name="Normal 9 2 67 5" xfId="31537"/>
    <cellStyle name="Normal 9 2 67 6" xfId="36395"/>
    <cellStyle name="Normal 9 2 67 7" xfId="41126"/>
    <cellStyle name="Normal 9 2 68" xfId="9198"/>
    <cellStyle name="Normal 9 2 68 2" xfId="16279"/>
    <cellStyle name="Normal 9 2 68 3" xfId="21396"/>
    <cellStyle name="Normal 9 2 68 4" xfId="26439"/>
    <cellStyle name="Normal 9 2 68 5" xfId="31400"/>
    <cellStyle name="Normal 9 2 68 6" xfId="36258"/>
    <cellStyle name="Normal 9 2 68 7" xfId="40989"/>
    <cellStyle name="Normal 9 2 69" xfId="9440"/>
    <cellStyle name="Normal 9 2 69 2" xfId="16521"/>
    <cellStyle name="Normal 9 2 69 3" xfId="21638"/>
    <cellStyle name="Normal 9 2 69 4" xfId="26681"/>
    <cellStyle name="Normal 9 2 69 5" xfId="31642"/>
    <cellStyle name="Normal 9 2 69 6" xfId="36500"/>
    <cellStyle name="Normal 9 2 69 7" xfId="41231"/>
    <cellStyle name="Normal 9 2 7" xfId="4387"/>
    <cellStyle name="Normal 9 2 7 2" xfId="5970"/>
    <cellStyle name="Normal 9 2 7 3" xfId="18072"/>
    <cellStyle name="Normal 9 2 7 4" xfId="23115"/>
    <cellStyle name="Normal 9 2 7 5" xfId="28076"/>
    <cellStyle name="Normal 9 2 7 6" xfId="32934"/>
    <cellStyle name="Normal 9 2 7 7" xfId="37665"/>
    <cellStyle name="Normal 9 2 70" xfId="9460"/>
    <cellStyle name="Normal 9 2 70 2" xfId="16541"/>
    <cellStyle name="Normal 9 2 70 3" xfId="21658"/>
    <cellStyle name="Normal 9 2 70 4" xfId="26701"/>
    <cellStyle name="Normal 9 2 70 5" xfId="31662"/>
    <cellStyle name="Normal 9 2 70 6" xfId="36520"/>
    <cellStyle name="Normal 9 2 70 7" xfId="41251"/>
    <cellStyle name="Normal 9 2 71" xfId="9133"/>
    <cellStyle name="Normal 9 2 71 2" xfId="16214"/>
    <cellStyle name="Normal 9 2 71 3" xfId="21331"/>
    <cellStyle name="Normal 9 2 71 4" xfId="26374"/>
    <cellStyle name="Normal 9 2 71 5" xfId="31335"/>
    <cellStyle name="Normal 9 2 71 6" xfId="36193"/>
    <cellStyle name="Normal 9 2 71 7" xfId="40924"/>
    <cellStyle name="Normal 9 2 72" xfId="9068"/>
    <cellStyle name="Normal 9 2 72 2" xfId="16149"/>
    <cellStyle name="Normal 9 2 72 3" xfId="21266"/>
    <cellStyle name="Normal 9 2 72 4" xfId="26309"/>
    <cellStyle name="Normal 9 2 72 5" xfId="31270"/>
    <cellStyle name="Normal 9 2 72 6" xfId="36128"/>
    <cellStyle name="Normal 9 2 72 7" xfId="40859"/>
    <cellStyle name="Normal 9 2 73" xfId="9205"/>
    <cellStyle name="Normal 9 2 73 2" xfId="16286"/>
    <cellStyle name="Normal 9 2 73 3" xfId="21403"/>
    <cellStyle name="Normal 9 2 73 4" xfId="26446"/>
    <cellStyle name="Normal 9 2 73 5" xfId="31407"/>
    <cellStyle name="Normal 9 2 73 6" xfId="36265"/>
    <cellStyle name="Normal 9 2 73 7" xfId="40996"/>
    <cellStyle name="Normal 9 2 74" xfId="9263"/>
    <cellStyle name="Normal 9 2 74 2" xfId="16344"/>
    <cellStyle name="Normal 9 2 74 3" xfId="21461"/>
    <cellStyle name="Normal 9 2 74 4" xfId="26504"/>
    <cellStyle name="Normal 9 2 74 5" xfId="31465"/>
    <cellStyle name="Normal 9 2 74 6" xfId="36323"/>
    <cellStyle name="Normal 9 2 74 7" xfId="41054"/>
    <cellStyle name="Normal 9 2 75" xfId="9334"/>
    <cellStyle name="Normal 9 2 75 2" xfId="16415"/>
    <cellStyle name="Normal 9 2 75 3" xfId="21532"/>
    <cellStyle name="Normal 9 2 75 4" xfId="26575"/>
    <cellStyle name="Normal 9 2 75 5" xfId="31536"/>
    <cellStyle name="Normal 9 2 75 6" xfId="36394"/>
    <cellStyle name="Normal 9 2 75 7" xfId="41125"/>
    <cellStyle name="Normal 9 2 76" xfId="9314"/>
    <cellStyle name="Normal 9 2 76 2" xfId="16395"/>
    <cellStyle name="Normal 9 2 76 3" xfId="21512"/>
    <cellStyle name="Normal 9 2 76 4" xfId="26555"/>
    <cellStyle name="Normal 9 2 76 5" xfId="31516"/>
    <cellStyle name="Normal 9 2 76 6" xfId="36374"/>
    <cellStyle name="Normal 9 2 76 7" xfId="41105"/>
    <cellStyle name="Normal 9 2 77" xfId="9796"/>
    <cellStyle name="Normal 9 2 77 2" xfId="16877"/>
    <cellStyle name="Normal 9 2 77 3" xfId="21994"/>
    <cellStyle name="Normal 9 2 77 4" xfId="27037"/>
    <cellStyle name="Normal 9 2 77 5" xfId="31998"/>
    <cellStyle name="Normal 9 2 77 6" xfId="36856"/>
    <cellStyle name="Normal 9 2 77 7" xfId="41587"/>
    <cellStyle name="Normal 9 2 78" xfId="9853"/>
    <cellStyle name="Normal 9 2 78 2" xfId="16934"/>
    <cellStyle name="Normal 9 2 78 3" xfId="22051"/>
    <cellStyle name="Normal 9 2 78 4" xfId="27094"/>
    <cellStyle name="Normal 9 2 78 5" xfId="32055"/>
    <cellStyle name="Normal 9 2 78 6" xfId="36913"/>
    <cellStyle name="Normal 9 2 78 7" xfId="41644"/>
    <cellStyle name="Normal 9 2 79" xfId="9854"/>
    <cellStyle name="Normal 9 2 79 2" xfId="16935"/>
    <cellStyle name="Normal 9 2 79 3" xfId="22052"/>
    <cellStyle name="Normal 9 2 79 4" xfId="27095"/>
    <cellStyle name="Normal 9 2 79 5" xfId="32056"/>
    <cellStyle name="Normal 9 2 79 6" xfId="36914"/>
    <cellStyle name="Normal 9 2 79 7" xfId="41645"/>
    <cellStyle name="Normal 9 2 8" xfId="4443"/>
    <cellStyle name="Normal 9 2 8 2" xfId="6272"/>
    <cellStyle name="Normal 9 2 8 3" xfId="18376"/>
    <cellStyle name="Normal 9 2 8 4" xfId="23419"/>
    <cellStyle name="Normal 9 2 8 5" xfId="28380"/>
    <cellStyle name="Normal 9 2 8 6" xfId="33238"/>
    <cellStyle name="Normal 9 2 8 7" xfId="37969"/>
    <cellStyle name="Normal 9 2 80" xfId="9783"/>
    <cellStyle name="Normal 9 2 80 2" xfId="16864"/>
    <cellStyle name="Normal 9 2 80 3" xfId="21981"/>
    <cellStyle name="Normal 9 2 80 4" xfId="27024"/>
    <cellStyle name="Normal 9 2 80 5" xfId="31985"/>
    <cellStyle name="Normal 9 2 80 6" xfId="36843"/>
    <cellStyle name="Normal 9 2 80 7" xfId="41574"/>
    <cellStyle name="Normal 9 2 81" xfId="9921"/>
    <cellStyle name="Normal 9 2 81 2" xfId="17002"/>
    <cellStyle name="Normal 9 2 81 3" xfId="22119"/>
    <cellStyle name="Normal 9 2 81 4" xfId="27162"/>
    <cellStyle name="Normal 9 2 81 5" xfId="32123"/>
    <cellStyle name="Normal 9 2 81 6" xfId="36981"/>
    <cellStyle name="Normal 9 2 81 7" xfId="41712"/>
    <cellStyle name="Normal 9 2 82" xfId="9930"/>
    <cellStyle name="Normal 9 2 82 2" xfId="17011"/>
    <cellStyle name="Normal 9 2 82 3" xfId="22128"/>
    <cellStyle name="Normal 9 2 82 4" xfId="27171"/>
    <cellStyle name="Normal 9 2 82 5" xfId="32132"/>
    <cellStyle name="Normal 9 2 82 6" xfId="36990"/>
    <cellStyle name="Normal 9 2 82 7" xfId="41721"/>
    <cellStyle name="Normal 9 2 83" xfId="10126"/>
    <cellStyle name="Normal 9 2 83 2" xfId="17207"/>
    <cellStyle name="Normal 9 2 83 3" xfId="22324"/>
    <cellStyle name="Normal 9 2 83 4" xfId="27367"/>
    <cellStyle name="Normal 9 2 83 5" xfId="32328"/>
    <cellStyle name="Normal 9 2 83 6" xfId="37186"/>
    <cellStyle name="Normal 9 2 83 7" xfId="41917"/>
    <cellStyle name="Normal 9 2 84" xfId="10183"/>
    <cellStyle name="Normal 9 2 84 2" xfId="17264"/>
    <cellStyle name="Normal 9 2 84 3" xfId="22381"/>
    <cellStyle name="Normal 9 2 84 4" xfId="27424"/>
    <cellStyle name="Normal 9 2 84 5" xfId="32385"/>
    <cellStyle name="Normal 9 2 84 6" xfId="37243"/>
    <cellStyle name="Normal 9 2 84 7" xfId="41974"/>
    <cellStyle name="Normal 9 2 85" xfId="10184"/>
    <cellStyle name="Normal 9 2 85 2" xfId="17265"/>
    <cellStyle name="Normal 9 2 85 3" xfId="22382"/>
    <cellStyle name="Normal 9 2 85 4" xfId="27425"/>
    <cellStyle name="Normal 9 2 85 5" xfId="32386"/>
    <cellStyle name="Normal 9 2 85 6" xfId="37244"/>
    <cellStyle name="Normal 9 2 85 7" xfId="41975"/>
    <cellStyle name="Normal 9 2 86" xfId="10113"/>
    <cellStyle name="Normal 9 2 86 2" xfId="17194"/>
    <cellStyle name="Normal 9 2 86 3" xfId="22311"/>
    <cellStyle name="Normal 9 2 86 4" xfId="27354"/>
    <cellStyle name="Normal 9 2 86 5" xfId="32315"/>
    <cellStyle name="Normal 9 2 86 6" xfId="37173"/>
    <cellStyle name="Normal 9 2 86 7" xfId="41904"/>
    <cellStyle name="Normal 9 2 87" xfId="10251"/>
    <cellStyle name="Normal 9 2 87 2" xfId="17332"/>
    <cellStyle name="Normal 9 2 87 3" xfId="22449"/>
    <cellStyle name="Normal 9 2 87 4" xfId="27492"/>
    <cellStyle name="Normal 9 2 87 5" xfId="32453"/>
    <cellStyle name="Normal 9 2 87 6" xfId="37311"/>
    <cellStyle name="Normal 9 2 87 7" xfId="42042"/>
    <cellStyle name="Normal 9 2 88" xfId="10260"/>
    <cellStyle name="Normal 9 2 88 2" xfId="17341"/>
    <cellStyle name="Normal 9 2 88 3" xfId="22458"/>
    <cellStyle name="Normal 9 2 88 4" xfId="27501"/>
    <cellStyle name="Normal 9 2 88 5" xfId="32462"/>
    <cellStyle name="Normal 9 2 88 6" xfId="37320"/>
    <cellStyle name="Normal 9 2 88 7" xfId="42051"/>
    <cellStyle name="Normal 9 2 89" xfId="12225"/>
    <cellStyle name="Normal 9 2 9" xfId="4527"/>
    <cellStyle name="Normal 9 2 9 2" xfId="6300"/>
    <cellStyle name="Normal 9 2 9 3" xfId="18407"/>
    <cellStyle name="Normal 9 2 9 4" xfId="23450"/>
    <cellStyle name="Normal 9 2 9 5" xfId="28411"/>
    <cellStyle name="Normal 9 2 9 6" xfId="33269"/>
    <cellStyle name="Normal 9 2 9 7" xfId="38000"/>
    <cellStyle name="Normal 9 2 90" xfId="11303"/>
    <cellStyle name="Normal 9 2 91" xfId="13891"/>
    <cellStyle name="Normal 9 2 92" xfId="17625"/>
    <cellStyle name="Normal 9 2 93" xfId="22711"/>
    <cellStyle name="Normal 9 2 94" xfId="27721"/>
    <cellStyle name="Normal 9 3" xfId="1580"/>
    <cellStyle name="Normal 9 3 2" xfId="12431"/>
    <cellStyle name="Normal 9 3 3" xfId="12516"/>
    <cellStyle name="Normal 9 3 4" xfId="12891"/>
    <cellStyle name="Normal 9 3 5" xfId="13655"/>
    <cellStyle name="Normal 9 3 6" xfId="13736"/>
    <cellStyle name="Normal 9 3 7" xfId="17484"/>
    <cellStyle name="Normal 9 4" xfId="1713"/>
    <cellStyle name="Normal 9 4 10" xfId="4499"/>
    <cellStyle name="Normal 9 4 10 2" xfId="6102"/>
    <cellStyle name="Normal 9 4 10 3" xfId="18206"/>
    <cellStyle name="Normal 9 4 10 4" xfId="23249"/>
    <cellStyle name="Normal 9 4 10 5" xfId="28210"/>
    <cellStyle name="Normal 9 4 10 6" xfId="33068"/>
    <cellStyle name="Normal 9 4 10 7" xfId="37799"/>
    <cellStyle name="Normal 9 4 11" xfId="4679"/>
    <cellStyle name="Normal 9 4 11 2" xfId="6173"/>
    <cellStyle name="Normal 9 4 11 3" xfId="18277"/>
    <cellStyle name="Normal 9 4 11 4" xfId="23320"/>
    <cellStyle name="Normal 9 4 11 5" xfId="28281"/>
    <cellStyle name="Normal 9 4 11 6" xfId="33139"/>
    <cellStyle name="Normal 9 4 11 7" xfId="37870"/>
    <cellStyle name="Normal 9 4 12" xfId="4813"/>
    <cellStyle name="Normal 9 4 12 2" xfId="5899"/>
    <cellStyle name="Normal 9 4 12 3" xfId="18000"/>
    <cellStyle name="Normal 9 4 12 4" xfId="23043"/>
    <cellStyle name="Normal 9 4 12 5" xfId="28004"/>
    <cellStyle name="Normal 9 4 12 6" xfId="32862"/>
    <cellStyle name="Normal 9 4 12 7" xfId="37593"/>
    <cellStyle name="Normal 9 4 13" xfId="4770"/>
    <cellStyle name="Normal 9 4 13 2" xfId="6361"/>
    <cellStyle name="Normal 9 4 13 3" xfId="18470"/>
    <cellStyle name="Normal 9 4 13 4" xfId="23513"/>
    <cellStyle name="Normal 9 4 13 5" xfId="28474"/>
    <cellStyle name="Normal 9 4 13 6" xfId="33332"/>
    <cellStyle name="Normal 9 4 13 7" xfId="38063"/>
    <cellStyle name="Normal 9 4 14" xfId="4816"/>
    <cellStyle name="Normal 9 4 14 2" xfId="5904"/>
    <cellStyle name="Normal 9 4 14 3" xfId="18006"/>
    <cellStyle name="Normal 9 4 14 4" xfId="23049"/>
    <cellStyle name="Normal 9 4 14 5" xfId="28010"/>
    <cellStyle name="Normal 9 4 14 6" xfId="32868"/>
    <cellStyle name="Normal 9 4 14 7" xfId="37599"/>
    <cellStyle name="Normal 9 4 15" xfId="4808"/>
    <cellStyle name="Normal 9 4 15 2" xfId="6412"/>
    <cellStyle name="Normal 9 4 15 3" xfId="18522"/>
    <cellStyle name="Normal 9 4 15 4" xfId="23565"/>
    <cellStyle name="Normal 9 4 15 5" xfId="28526"/>
    <cellStyle name="Normal 9 4 15 6" xfId="33384"/>
    <cellStyle name="Normal 9 4 15 7" xfId="38115"/>
    <cellStyle name="Normal 9 4 16" xfId="5029"/>
    <cellStyle name="Normal 9 4 16 2" xfId="6398"/>
    <cellStyle name="Normal 9 4 16 3" xfId="18508"/>
    <cellStyle name="Normal 9 4 16 4" xfId="23551"/>
    <cellStyle name="Normal 9 4 16 5" xfId="28512"/>
    <cellStyle name="Normal 9 4 16 6" xfId="33370"/>
    <cellStyle name="Normal 9 4 16 7" xfId="38101"/>
    <cellStyle name="Normal 9 4 17" xfId="4989"/>
    <cellStyle name="Normal 9 4 17 2" xfId="6270"/>
    <cellStyle name="Normal 9 4 17 3" xfId="18374"/>
    <cellStyle name="Normal 9 4 17 4" xfId="23417"/>
    <cellStyle name="Normal 9 4 17 5" xfId="28378"/>
    <cellStyle name="Normal 9 4 17 6" xfId="33236"/>
    <cellStyle name="Normal 9 4 17 7" xfId="37967"/>
    <cellStyle name="Normal 9 4 18" xfId="5067"/>
    <cellStyle name="Normal 9 4 18 2" xfId="6053"/>
    <cellStyle name="Normal 9 4 18 3" xfId="18157"/>
    <cellStyle name="Normal 9 4 18 4" xfId="23200"/>
    <cellStyle name="Normal 9 4 18 5" xfId="28161"/>
    <cellStyle name="Normal 9 4 18 6" xfId="33019"/>
    <cellStyle name="Normal 9 4 18 7" xfId="37750"/>
    <cellStyle name="Normal 9 4 19" xfId="5016"/>
    <cellStyle name="Normal 9 4 19 2" xfId="6728"/>
    <cellStyle name="Normal 9 4 19 3" xfId="18849"/>
    <cellStyle name="Normal 9 4 19 4" xfId="23892"/>
    <cellStyle name="Normal 9 4 19 5" xfId="28853"/>
    <cellStyle name="Normal 9 4 19 6" xfId="33711"/>
    <cellStyle name="Normal 9 4 19 7" xfId="38442"/>
    <cellStyle name="Normal 9 4 2" xfId="2460"/>
    <cellStyle name="Normal 9 4 2 2" xfId="13007"/>
    <cellStyle name="Normal 9 4 2 3" xfId="12333"/>
    <cellStyle name="Normal 9 4 2 4" xfId="13652"/>
    <cellStyle name="Normal 9 4 2 5" xfId="11737"/>
    <cellStyle name="Normal 9 4 2 6" xfId="12421"/>
    <cellStyle name="Normal 9 4 2 7" xfId="10680"/>
    <cellStyle name="Normal 9 4 20" xfId="5354"/>
    <cellStyle name="Normal 9 4 20 2" xfId="6690"/>
    <cellStyle name="Normal 9 4 20 3" xfId="18811"/>
    <cellStyle name="Normal 9 4 20 4" xfId="23854"/>
    <cellStyle name="Normal 9 4 20 5" xfId="28815"/>
    <cellStyle name="Normal 9 4 20 6" xfId="33673"/>
    <cellStyle name="Normal 9 4 20 7" xfId="38404"/>
    <cellStyle name="Normal 9 4 21" xfId="5250"/>
    <cellStyle name="Normal 9 4 21 2" xfId="6761"/>
    <cellStyle name="Normal 9 4 21 3" xfId="18882"/>
    <cellStyle name="Normal 9 4 21 4" xfId="23925"/>
    <cellStyle name="Normal 9 4 21 5" xfId="28886"/>
    <cellStyle name="Normal 9 4 21 6" xfId="33744"/>
    <cellStyle name="Normal 9 4 21 7" xfId="38475"/>
    <cellStyle name="Normal 9 4 22" xfId="5357"/>
    <cellStyle name="Normal 9 4 22 2" xfId="6735"/>
    <cellStyle name="Normal 9 4 22 3" xfId="18856"/>
    <cellStyle name="Normal 9 4 22 4" xfId="23899"/>
    <cellStyle name="Normal 9 4 22 5" xfId="28860"/>
    <cellStyle name="Normal 9 4 22 6" xfId="33718"/>
    <cellStyle name="Normal 9 4 22 7" xfId="38449"/>
    <cellStyle name="Normal 9 4 23" xfId="5343"/>
    <cellStyle name="Normal 9 4 23 2" xfId="7076"/>
    <cellStyle name="Normal 9 4 23 3" xfId="19220"/>
    <cellStyle name="Normal 9 4 23 4" xfId="24263"/>
    <cellStyle name="Normal 9 4 23 5" xfId="29224"/>
    <cellStyle name="Normal 9 4 23 6" xfId="34082"/>
    <cellStyle name="Normal 9 4 23 7" xfId="38813"/>
    <cellStyle name="Normal 9 4 24" xfId="5463"/>
    <cellStyle name="Normal 9 4 24 2" xfId="6959"/>
    <cellStyle name="Normal 9 4 24 3" xfId="19090"/>
    <cellStyle name="Normal 9 4 24 4" xfId="24133"/>
    <cellStyle name="Normal 9 4 24 5" xfId="29094"/>
    <cellStyle name="Normal 9 4 24 6" xfId="33952"/>
    <cellStyle name="Normal 9 4 24 7" xfId="38683"/>
    <cellStyle name="Normal 9 4 25" xfId="5252"/>
    <cellStyle name="Normal 9 4 25 2" xfId="7163"/>
    <cellStyle name="Normal 9 4 25 3" xfId="19318"/>
    <cellStyle name="Normal 9 4 25 4" xfId="24361"/>
    <cellStyle name="Normal 9 4 25 5" xfId="29322"/>
    <cellStyle name="Normal 9 4 25 6" xfId="34180"/>
    <cellStyle name="Normal 9 4 25 7" xfId="38911"/>
    <cellStyle name="Normal 9 4 26" xfId="5218"/>
    <cellStyle name="Normal 9 4 26 2" xfId="7084"/>
    <cellStyle name="Normal 9 4 26 3" xfId="19229"/>
    <cellStyle name="Normal 9 4 26 4" xfId="24272"/>
    <cellStyle name="Normal 9 4 26 5" xfId="29233"/>
    <cellStyle name="Normal 9 4 26 6" xfId="34091"/>
    <cellStyle name="Normal 9 4 26 7" xfId="38822"/>
    <cellStyle name="Normal 9 4 27" xfId="5276"/>
    <cellStyle name="Normal 9 4 27 2" xfId="7215"/>
    <cellStyle name="Normal 9 4 27 3" xfId="19372"/>
    <cellStyle name="Normal 9 4 27 4" xfId="24415"/>
    <cellStyle name="Normal 9 4 27 5" xfId="29376"/>
    <cellStyle name="Normal 9 4 27 6" xfId="34234"/>
    <cellStyle name="Normal 9 4 27 7" xfId="38965"/>
    <cellStyle name="Normal 9 4 28" xfId="5194"/>
    <cellStyle name="Normal 9 4 28 2" xfId="7296"/>
    <cellStyle name="Normal 9 4 28 3" xfId="19463"/>
    <cellStyle name="Normal 9 4 28 4" xfId="24506"/>
    <cellStyle name="Normal 9 4 28 5" xfId="29467"/>
    <cellStyle name="Normal 9 4 28 6" xfId="34325"/>
    <cellStyle name="Normal 9 4 28 7" xfId="39056"/>
    <cellStyle name="Normal 9 4 29" xfId="5765"/>
    <cellStyle name="Normal 9 4 29 2" xfId="14314"/>
    <cellStyle name="Normal 9 4 29 3" xfId="19187"/>
    <cellStyle name="Normal 9 4 29 4" xfId="24230"/>
    <cellStyle name="Normal 9 4 29 5" xfId="29191"/>
    <cellStyle name="Normal 9 4 29 6" xfId="34049"/>
    <cellStyle name="Normal 9 4 29 7" xfId="38780"/>
    <cellStyle name="Normal 9 4 3" xfId="4263"/>
    <cellStyle name="Normal 9 4 3 2" xfId="6075"/>
    <cellStyle name="Normal 9 4 3 3" xfId="18179"/>
    <cellStyle name="Normal 9 4 3 4" xfId="23222"/>
    <cellStyle name="Normal 9 4 3 5" xfId="28183"/>
    <cellStyle name="Normal 9 4 3 6" xfId="33041"/>
    <cellStyle name="Normal 9 4 3 7" xfId="37772"/>
    <cellStyle name="Normal 9 4 30" xfId="7097"/>
    <cellStyle name="Normal 9 4 30 2" xfId="14341"/>
    <cellStyle name="Normal 9 4 30 3" xfId="19243"/>
    <cellStyle name="Normal 9 4 30 4" xfId="24286"/>
    <cellStyle name="Normal 9 4 30 5" xfId="29247"/>
    <cellStyle name="Normal 9 4 30 6" xfId="34105"/>
    <cellStyle name="Normal 9 4 30 7" xfId="38836"/>
    <cellStyle name="Normal 9 4 31" xfId="7147"/>
    <cellStyle name="Normal 9 4 31 2" xfId="14371"/>
    <cellStyle name="Normal 9 4 31 3" xfId="19299"/>
    <cellStyle name="Normal 9 4 31 4" xfId="24342"/>
    <cellStyle name="Normal 9 4 31 5" xfId="29303"/>
    <cellStyle name="Normal 9 4 31 6" xfId="34161"/>
    <cellStyle name="Normal 9 4 31 7" xfId="38892"/>
    <cellStyle name="Normal 9 4 32" xfId="6952"/>
    <cellStyle name="Normal 9 4 32 2" xfId="14261"/>
    <cellStyle name="Normal 9 4 32 3" xfId="19083"/>
    <cellStyle name="Normal 9 4 32 4" xfId="24126"/>
    <cellStyle name="Normal 9 4 32 5" xfId="29087"/>
    <cellStyle name="Normal 9 4 32 6" xfId="33945"/>
    <cellStyle name="Normal 9 4 32 7" xfId="38676"/>
    <cellStyle name="Normal 9 4 33" xfId="7276"/>
    <cellStyle name="Normal 9 4 33 2" xfId="14427"/>
    <cellStyle name="Normal 9 4 33 3" xfId="19443"/>
    <cellStyle name="Normal 9 4 33 4" xfId="24486"/>
    <cellStyle name="Normal 9 4 33 5" xfId="29447"/>
    <cellStyle name="Normal 9 4 33 6" xfId="34305"/>
    <cellStyle name="Normal 9 4 33 7" xfId="39036"/>
    <cellStyle name="Normal 9 4 34" xfId="6958"/>
    <cellStyle name="Normal 9 4 34 2" xfId="14263"/>
    <cellStyle name="Normal 9 4 34 3" xfId="19089"/>
    <cellStyle name="Normal 9 4 34 4" xfId="24132"/>
    <cellStyle name="Normal 9 4 34 5" xfId="29093"/>
    <cellStyle name="Normal 9 4 34 6" xfId="33951"/>
    <cellStyle name="Normal 9 4 34 7" xfId="38682"/>
    <cellStyle name="Normal 9 4 35" xfId="7717"/>
    <cellStyle name="Normal 9 4 35 2" xfId="14797"/>
    <cellStyle name="Normal 9 4 35 3" xfId="19914"/>
    <cellStyle name="Normal 9 4 35 4" xfId="24957"/>
    <cellStyle name="Normal 9 4 35 5" xfId="29918"/>
    <cellStyle name="Normal 9 4 35 6" xfId="34776"/>
    <cellStyle name="Normal 9 4 35 7" xfId="39507"/>
    <cellStyle name="Normal 9 4 36" xfId="7564"/>
    <cellStyle name="Normal 9 4 36 2" xfId="14644"/>
    <cellStyle name="Normal 9 4 36 3" xfId="19761"/>
    <cellStyle name="Normal 9 4 36 4" xfId="24804"/>
    <cellStyle name="Normal 9 4 36 5" xfId="29765"/>
    <cellStyle name="Normal 9 4 36 6" xfId="34623"/>
    <cellStyle name="Normal 9 4 36 7" xfId="39354"/>
    <cellStyle name="Normal 9 4 37" xfId="7824"/>
    <cellStyle name="Normal 9 4 37 2" xfId="14904"/>
    <cellStyle name="Normal 9 4 37 3" xfId="20021"/>
    <cellStyle name="Normal 9 4 37 4" xfId="25064"/>
    <cellStyle name="Normal 9 4 37 5" xfId="30025"/>
    <cellStyle name="Normal 9 4 37 6" xfId="34883"/>
    <cellStyle name="Normal 9 4 37 7" xfId="39614"/>
    <cellStyle name="Normal 9 4 38" xfId="7726"/>
    <cellStyle name="Normal 9 4 38 2" xfId="14806"/>
    <cellStyle name="Normal 9 4 38 3" xfId="19923"/>
    <cellStyle name="Normal 9 4 38 4" xfId="24966"/>
    <cellStyle name="Normal 9 4 38 5" xfId="29927"/>
    <cellStyle name="Normal 9 4 38 6" xfId="34785"/>
    <cellStyle name="Normal 9 4 38 7" xfId="39516"/>
    <cellStyle name="Normal 9 4 39" xfId="7883"/>
    <cellStyle name="Normal 9 4 39 2" xfId="14963"/>
    <cellStyle name="Normal 9 4 39 3" xfId="20080"/>
    <cellStyle name="Normal 9 4 39 4" xfId="25123"/>
    <cellStyle name="Normal 9 4 39 5" xfId="30084"/>
    <cellStyle name="Normal 9 4 39 6" xfId="34942"/>
    <cellStyle name="Normal 9 4 39 7" xfId="39673"/>
    <cellStyle name="Normal 9 4 4" xfId="4229"/>
    <cellStyle name="Normal 9 4 4 2" xfId="5906"/>
    <cellStyle name="Normal 9 4 4 3" xfId="18008"/>
    <cellStyle name="Normal 9 4 4 4" xfId="23051"/>
    <cellStyle name="Normal 9 4 4 5" xfId="28012"/>
    <cellStyle name="Normal 9 4 4 6" xfId="32870"/>
    <cellStyle name="Normal 9 4 4 7" xfId="37601"/>
    <cellStyle name="Normal 9 4 40" xfId="7996"/>
    <cellStyle name="Normal 9 4 40 2" xfId="15076"/>
    <cellStyle name="Normal 9 4 40 3" xfId="20193"/>
    <cellStyle name="Normal 9 4 40 4" xfId="25236"/>
    <cellStyle name="Normal 9 4 40 5" xfId="30197"/>
    <cellStyle name="Normal 9 4 40 6" xfId="35055"/>
    <cellStyle name="Normal 9 4 40 7" xfId="39786"/>
    <cellStyle name="Normal 9 4 41" xfId="7677"/>
    <cellStyle name="Normal 9 4 41 2" xfId="14757"/>
    <cellStyle name="Normal 9 4 41 3" xfId="19874"/>
    <cellStyle name="Normal 9 4 41 4" xfId="24917"/>
    <cellStyle name="Normal 9 4 41 5" xfId="29878"/>
    <cellStyle name="Normal 9 4 41 6" xfId="34736"/>
    <cellStyle name="Normal 9 4 41 7" xfId="39467"/>
    <cellStyle name="Normal 9 4 42" xfId="7740"/>
    <cellStyle name="Normal 9 4 42 2" xfId="14820"/>
    <cellStyle name="Normal 9 4 42 3" xfId="19937"/>
    <cellStyle name="Normal 9 4 42 4" xfId="24980"/>
    <cellStyle name="Normal 9 4 42 5" xfId="29941"/>
    <cellStyle name="Normal 9 4 42 6" xfId="34799"/>
    <cellStyle name="Normal 9 4 42 7" xfId="39530"/>
    <cellStyle name="Normal 9 4 43" xfId="7803"/>
    <cellStyle name="Normal 9 4 43 2" xfId="14883"/>
    <cellStyle name="Normal 9 4 43 3" xfId="20000"/>
    <cellStyle name="Normal 9 4 43 4" xfId="25043"/>
    <cellStyle name="Normal 9 4 43 5" xfId="30004"/>
    <cellStyle name="Normal 9 4 43 6" xfId="34862"/>
    <cellStyle name="Normal 9 4 43 7" xfId="39593"/>
    <cellStyle name="Normal 9 4 44" xfId="7558"/>
    <cellStyle name="Normal 9 4 44 2" xfId="14637"/>
    <cellStyle name="Normal 9 4 44 3" xfId="19754"/>
    <cellStyle name="Normal 9 4 44 4" xfId="24797"/>
    <cellStyle name="Normal 9 4 44 5" xfId="29758"/>
    <cellStyle name="Normal 9 4 44 6" xfId="34616"/>
    <cellStyle name="Normal 9 4 44 7" xfId="39347"/>
    <cellStyle name="Normal 9 4 45" xfId="7972"/>
    <cellStyle name="Normal 9 4 45 2" xfId="15052"/>
    <cellStyle name="Normal 9 4 45 3" xfId="20169"/>
    <cellStyle name="Normal 9 4 45 4" xfId="25212"/>
    <cellStyle name="Normal 9 4 45 5" xfId="30173"/>
    <cellStyle name="Normal 9 4 45 6" xfId="35031"/>
    <cellStyle name="Normal 9 4 45 7" xfId="39762"/>
    <cellStyle name="Normal 9 4 46" xfId="7563"/>
    <cellStyle name="Normal 9 4 46 2" xfId="14643"/>
    <cellStyle name="Normal 9 4 46 3" xfId="19760"/>
    <cellStyle name="Normal 9 4 46 4" xfId="24803"/>
    <cellStyle name="Normal 9 4 46 5" xfId="29764"/>
    <cellStyle name="Normal 9 4 46 6" xfId="34622"/>
    <cellStyle name="Normal 9 4 46 7" xfId="39353"/>
    <cellStyle name="Normal 9 4 47" xfId="8021"/>
    <cellStyle name="Normal 9 4 47 2" xfId="15101"/>
    <cellStyle name="Normal 9 4 47 3" xfId="20218"/>
    <cellStyle name="Normal 9 4 47 4" xfId="25261"/>
    <cellStyle name="Normal 9 4 47 5" xfId="30222"/>
    <cellStyle name="Normal 9 4 47 6" xfId="35080"/>
    <cellStyle name="Normal 9 4 47 7" xfId="39811"/>
    <cellStyle name="Normal 9 4 48" xfId="8007"/>
    <cellStyle name="Normal 9 4 48 2" xfId="15087"/>
    <cellStyle name="Normal 9 4 48 3" xfId="20204"/>
    <cellStyle name="Normal 9 4 48 4" xfId="25247"/>
    <cellStyle name="Normal 9 4 48 5" xfId="30208"/>
    <cellStyle name="Normal 9 4 48 6" xfId="35066"/>
    <cellStyle name="Normal 9 4 48 7" xfId="39797"/>
    <cellStyle name="Normal 9 4 49" xfId="8497"/>
    <cellStyle name="Normal 9 4 49 2" xfId="15578"/>
    <cellStyle name="Normal 9 4 49 3" xfId="20695"/>
    <cellStyle name="Normal 9 4 49 4" xfId="25738"/>
    <cellStyle name="Normal 9 4 49 5" xfId="30699"/>
    <cellStyle name="Normal 9 4 49 6" xfId="35557"/>
    <cellStyle name="Normal 9 4 49 7" xfId="40288"/>
    <cellStyle name="Normal 9 4 5" xfId="4216"/>
    <cellStyle name="Normal 9 4 5 2" xfId="6196"/>
    <cellStyle name="Normal 9 4 5 3" xfId="18300"/>
    <cellStyle name="Normal 9 4 5 4" xfId="23343"/>
    <cellStyle name="Normal 9 4 5 5" xfId="28304"/>
    <cellStyle name="Normal 9 4 5 6" xfId="33162"/>
    <cellStyle name="Normal 9 4 5 7" xfId="37893"/>
    <cellStyle name="Normal 9 4 50" xfId="8348"/>
    <cellStyle name="Normal 9 4 50 2" xfId="15429"/>
    <cellStyle name="Normal 9 4 50 3" xfId="20546"/>
    <cellStyle name="Normal 9 4 50 4" xfId="25589"/>
    <cellStyle name="Normal 9 4 50 5" xfId="30550"/>
    <cellStyle name="Normal 9 4 50 6" xfId="35408"/>
    <cellStyle name="Normal 9 4 50 7" xfId="40139"/>
    <cellStyle name="Normal 9 4 51" xfId="8617"/>
    <cellStyle name="Normal 9 4 51 2" xfId="15698"/>
    <cellStyle name="Normal 9 4 51 3" xfId="20815"/>
    <cellStyle name="Normal 9 4 51 4" xfId="25858"/>
    <cellStyle name="Normal 9 4 51 5" xfId="30819"/>
    <cellStyle name="Normal 9 4 51 6" xfId="35677"/>
    <cellStyle name="Normal 9 4 51 7" xfId="40408"/>
    <cellStyle name="Normal 9 4 52" xfId="8509"/>
    <cellStyle name="Normal 9 4 52 2" xfId="15590"/>
    <cellStyle name="Normal 9 4 52 3" xfId="20707"/>
    <cellStyle name="Normal 9 4 52 4" xfId="25750"/>
    <cellStyle name="Normal 9 4 52 5" xfId="30711"/>
    <cellStyle name="Normal 9 4 52 6" xfId="35569"/>
    <cellStyle name="Normal 9 4 52 7" xfId="40300"/>
    <cellStyle name="Normal 9 4 53" xfId="8688"/>
    <cellStyle name="Normal 9 4 53 2" xfId="15769"/>
    <cellStyle name="Normal 9 4 53 3" xfId="20886"/>
    <cellStyle name="Normal 9 4 53 4" xfId="25929"/>
    <cellStyle name="Normal 9 4 53 5" xfId="30890"/>
    <cellStyle name="Normal 9 4 53 6" xfId="35748"/>
    <cellStyle name="Normal 9 4 53 7" xfId="40479"/>
    <cellStyle name="Normal 9 4 54" xfId="8793"/>
    <cellStyle name="Normal 9 4 54 2" xfId="15874"/>
    <cellStyle name="Normal 9 4 54 3" xfId="20991"/>
    <cellStyle name="Normal 9 4 54 4" xfId="26034"/>
    <cellStyle name="Normal 9 4 54 5" xfId="30995"/>
    <cellStyle name="Normal 9 4 54 6" xfId="35853"/>
    <cellStyle name="Normal 9 4 54 7" xfId="40584"/>
    <cellStyle name="Normal 9 4 55" xfId="8453"/>
    <cellStyle name="Normal 9 4 55 2" xfId="15534"/>
    <cellStyle name="Normal 9 4 55 3" xfId="20651"/>
    <cellStyle name="Normal 9 4 55 4" xfId="25694"/>
    <cellStyle name="Normal 9 4 55 5" xfId="30655"/>
    <cellStyle name="Normal 9 4 55 6" xfId="35513"/>
    <cellStyle name="Normal 9 4 55 7" xfId="40244"/>
    <cellStyle name="Normal 9 4 56" xfId="8692"/>
    <cellStyle name="Normal 9 4 56 2" xfId="15773"/>
    <cellStyle name="Normal 9 4 56 3" xfId="20890"/>
    <cellStyle name="Normal 9 4 56 4" xfId="25933"/>
    <cellStyle name="Normal 9 4 56 5" xfId="30894"/>
    <cellStyle name="Normal 9 4 56 6" xfId="35752"/>
    <cellStyle name="Normal 9 4 56 7" xfId="40483"/>
    <cellStyle name="Normal 9 4 57" xfId="8560"/>
    <cellStyle name="Normal 9 4 57 2" xfId="15641"/>
    <cellStyle name="Normal 9 4 57 3" xfId="20758"/>
    <cellStyle name="Normal 9 4 57 4" xfId="25801"/>
    <cellStyle name="Normal 9 4 57 5" xfId="30762"/>
    <cellStyle name="Normal 9 4 57 6" xfId="35620"/>
    <cellStyle name="Normal 9 4 57 7" xfId="40351"/>
    <cellStyle name="Normal 9 4 58" xfId="8474"/>
    <cellStyle name="Normal 9 4 58 2" xfId="15555"/>
    <cellStyle name="Normal 9 4 58 3" xfId="20672"/>
    <cellStyle name="Normal 9 4 58 4" xfId="25715"/>
    <cellStyle name="Normal 9 4 58 5" xfId="30676"/>
    <cellStyle name="Normal 9 4 58 6" xfId="35534"/>
    <cellStyle name="Normal 9 4 58 7" xfId="40265"/>
    <cellStyle name="Normal 9 4 59" xfId="8620"/>
    <cellStyle name="Normal 9 4 59 2" xfId="15701"/>
    <cellStyle name="Normal 9 4 59 3" xfId="20818"/>
    <cellStyle name="Normal 9 4 59 4" xfId="25861"/>
    <cellStyle name="Normal 9 4 59 5" xfId="30822"/>
    <cellStyle name="Normal 9 4 59 6" xfId="35680"/>
    <cellStyle name="Normal 9 4 59 7" xfId="40411"/>
    <cellStyle name="Normal 9 4 6" xfId="4397"/>
    <cellStyle name="Normal 9 4 6 2" xfId="6085"/>
    <cellStyle name="Normal 9 4 6 3" xfId="18189"/>
    <cellStyle name="Normal 9 4 6 4" xfId="23232"/>
    <cellStyle name="Normal 9 4 6 5" xfId="28193"/>
    <cellStyle name="Normal 9 4 6 6" xfId="33051"/>
    <cellStyle name="Normal 9 4 6 7" xfId="37782"/>
    <cellStyle name="Normal 9 4 60" xfId="8872"/>
    <cellStyle name="Normal 9 4 60 2" xfId="15953"/>
    <cellStyle name="Normal 9 4 60 3" xfId="21070"/>
    <cellStyle name="Normal 9 4 60 4" xfId="26113"/>
    <cellStyle name="Normal 9 4 60 5" xfId="31074"/>
    <cellStyle name="Normal 9 4 60 6" xfId="35932"/>
    <cellStyle name="Normal 9 4 60 7" xfId="40663"/>
    <cellStyle name="Normal 9 4 61" xfId="8251"/>
    <cellStyle name="Normal 9 4 61 2" xfId="15332"/>
    <cellStyle name="Normal 9 4 61 3" xfId="20449"/>
    <cellStyle name="Normal 9 4 61 4" xfId="25492"/>
    <cellStyle name="Normal 9 4 61 5" xfId="30453"/>
    <cellStyle name="Normal 9 4 61 6" xfId="35311"/>
    <cellStyle name="Normal 9 4 61 7" xfId="40042"/>
    <cellStyle name="Normal 9 4 62" xfId="8610"/>
    <cellStyle name="Normal 9 4 62 2" xfId="15691"/>
    <cellStyle name="Normal 9 4 62 3" xfId="20808"/>
    <cellStyle name="Normal 9 4 62 4" xfId="25851"/>
    <cellStyle name="Normal 9 4 62 5" xfId="30812"/>
    <cellStyle name="Normal 9 4 62 6" xfId="35670"/>
    <cellStyle name="Normal 9 4 62 7" xfId="40401"/>
    <cellStyle name="Normal 9 4 63" xfId="8325"/>
    <cellStyle name="Normal 9 4 63 2" xfId="15406"/>
    <cellStyle name="Normal 9 4 63 3" xfId="20523"/>
    <cellStyle name="Normal 9 4 63 4" xfId="25566"/>
    <cellStyle name="Normal 9 4 63 5" xfId="30527"/>
    <cellStyle name="Normal 9 4 63 6" xfId="35385"/>
    <cellStyle name="Normal 9 4 63 7" xfId="40116"/>
    <cellStyle name="Normal 9 4 64" xfId="9280"/>
    <cellStyle name="Normal 9 4 64 2" xfId="16361"/>
    <cellStyle name="Normal 9 4 64 3" xfId="21478"/>
    <cellStyle name="Normal 9 4 64 4" xfId="26521"/>
    <cellStyle name="Normal 9 4 64 5" xfId="31482"/>
    <cellStyle name="Normal 9 4 64 6" xfId="36340"/>
    <cellStyle name="Normal 9 4 64 7" xfId="41071"/>
    <cellStyle name="Normal 9 4 65" xfId="9150"/>
    <cellStyle name="Normal 9 4 65 2" xfId="16231"/>
    <cellStyle name="Normal 9 4 65 3" xfId="21348"/>
    <cellStyle name="Normal 9 4 65 4" xfId="26391"/>
    <cellStyle name="Normal 9 4 65 5" xfId="31352"/>
    <cellStyle name="Normal 9 4 65 6" xfId="36210"/>
    <cellStyle name="Normal 9 4 65 7" xfId="40941"/>
    <cellStyle name="Normal 9 4 66" xfId="9378"/>
    <cellStyle name="Normal 9 4 66 2" xfId="16459"/>
    <cellStyle name="Normal 9 4 66 3" xfId="21576"/>
    <cellStyle name="Normal 9 4 66 4" xfId="26619"/>
    <cellStyle name="Normal 9 4 66 5" xfId="31580"/>
    <cellStyle name="Normal 9 4 66 6" xfId="36438"/>
    <cellStyle name="Normal 9 4 66 7" xfId="41169"/>
    <cellStyle name="Normal 9 4 67" xfId="9289"/>
    <cellStyle name="Normal 9 4 67 2" xfId="16370"/>
    <cellStyle name="Normal 9 4 67 3" xfId="21487"/>
    <cellStyle name="Normal 9 4 67 4" xfId="26530"/>
    <cellStyle name="Normal 9 4 67 5" xfId="31491"/>
    <cellStyle name="Normal 9 4 67 6" xfId="36349"/>
    <cellStyle name="Normal 9 4 67 7" xfId="41080"/>
    <cellStyle name="Normal 9 4 68" xfId="9432"/>
    <cellStyle name="Normal 9 4 68 2" xfId="16513"/>
    <cellStyle name="Normal 9 4 68 3" xfId="21630"/>
    <cellStyle name="Normal 9 4 68 4" xfId="26673"/>
    <cellStyle name="Normal 9 4 68 5" xfId="31634"/>
    <cellStyle name="Normal 9 4 68 6" xfId="36492"/>
    <cellStyle name="Normal 9 4 68 7" xfId="41223"/>
    <cellStyle name="Normal 9 4 69" xfId="9523"/>
    <cellStyle name="Normal 9 4 69 2" xfId="16604"/>
    <cellStyle name="Normal 9 4 69 3" xfId="21721"/>
    <cellStyle name="Normal 9 4 69 4" xfId="26764"/>
    <cellStyle name="Normal 9 4 69 5" xfId="31725"/>
    <cellStyle name="Normal 9 4 69 6" xfId="36583"/>
    <cellStyle name="Normal 9 4 69 7" xfId="41314"/>
    <cellStyle name="Normal 9 4 7" xfId="4453"/>
    <cellStyle name="Normal 9 4 7 2" xfId="6262"/>
    <cellStyle name="Normal 9 4 7 3" xfId="18366"/>
    <cellStyle name="Normal 9 4 7 4" xfId="23409"/>
    <cellStyle name="Normal 9 4 7 5" xfId="28370"/>
    <cellStyle name="Normal 9 4 7 6" xfId="33228"/>
    <cellStyle name="Normal 9 4 7 7" xfId="37959"/>
    <cellStyle name="Normal 9 4 70" xfId="9247"/>
    <cellStyle name="Normal 9 4 70 2" xfId="16328"/>
    <cellStyle name="Normal 9 4 70 3" xfId="21445"/>
    <cellStyle name="Normal 9 4 70 4" xfId="26488"/>
    <cellStyle name="Normal 9 4 70 5" xfId="31449"/>
    <cellStyle name="Normal 9 4 70 6" xfId="36307"/>
    <cellStyle name="Normal 9 4 70 7" xfId="41038"/>
    <cellStyle name="Normal 9 4 71" xfId="9303"/>
    <cellStyle name="Normal 9 4 71 2" xfId="16384"/>
    <cellStyle name="Normal 9 4 71 3" xfId="21501"/>
    <cellStyle name="Normal 9 4 71 4" xfId="26544"/>
    <cellStyle name="Normal 9 4 71 5" xfId="31505"/>
    <cellStyle name="Normal 9 4 71 6" xfId="36363"/>
    <cellStyle name="Normal 9 4 71 7" xfId="41094"/>
    <cellStyle name="Normal 9 4 72" xfId="9359"/>
    <cellStyle name="Normal 9 4 72 2" xfId="16440"/>
    <cellStyle name="Normal 9 4 72 3" xfId="21557"/>
    <cellStyle name="Normal 9 4 72 4" xfId="26600"/>
    <cellStyle name="Normal 9 4 72 5" xfId="31561"/>
    <cellStyle name="Normal 9 4 72 6" xfId="36419"/>
    <cellStyle name="Normal 9 4 72 7" xfId="41150"/>
    <cellStyle name="Normal 9 4 73" xfId="9143"/>
    <cellStyle name="Normal 9 4 73 2" xfId="16224"/>
    <cellStyle name="Normal 9 4 73 3" xfId="21341"/>
    <cellStyle name="Normal 9 4 73 4" xfId="26384"/>
    <cellStyle name="Normal 9 4 73 5" xfId="31345"/>
    <cellStyle name="Normal 9 4 73 6" xfId="36203"/>
    <cellStyle name="Normal 9 4 73 7" xfId="40934"/>
    <cellStyle name="Normal 9 4 74" xfId="9503"/>
    <cellStyle name="Normal 9 4 74 2" xfId="16584"/>
    <cellStyle name="Normal 9 4 74 3" xfId="21701"/>
    <cellStyle name="Normal 9 4 74 4" xfId="26744"/>
    <cellStyle name="Normal 9 4 74 5" xfId="31705"/>
    <cellStyle name="Normal 9 4 74 6" xfId="36563"/>
    <cellStyle name="Normal 9 4 74 7" xfId="41294"/>
    <cellStyle name="Normal 9 4 75" xfId="9149"/>
    <cellStyle name="Normal 9 4 75 2" xfId="16230"/>
    <cellStyle name="Normal 9 4 75 3" xfId="21347"/>
    <cellStyle name="Normal 9 4 75 4" xfId="26390"/>
    <cellStyle name="Normal 9 4 75 5" xfId="31351"/>
    <cellStyle name="Normal 9 4 75 6" xfId="36209"/>
    <cellStyle name="Normal 9 4 75 7" xfId="40940"/>
    <cellStyle name="Normal 9 4 76" xfId="9827"/>
    <cellStyle name="Normal 9 4 76 2" xfId="16908"/>
    <cellStyle name="Normal 9 4 76 3" xfId="22025"/>
    <cellStyle name="Normal 9 4 76 4" xfId="27068"/>
    <cellStyle name="Normal 9 4 76 5" xfId="32029"/>
    <cellStyle name="Normal 9 4 76 6" xfId="36887"/>
    <cellStyle name="Normal 9 4 76 7" xfId="41618"/>
    <cellStyle name="Normal 9 4 77" xfId="9766"/>
    <cellStyle name="Normal 9 4 77 2" xfId="16847"/>
    <cellStyle name="Normal 9 4 77 3" xfId="21964"/>
    <cellStyle name="Normal 9 4 77 4" xfId="27007"/>
    <cellStyle name="Normal 9 4 77 5" xfId="31968"/>
    <cellStyle name="Normal 9 4 77 6" xfId="36826"/>
    <cellStyle name="Normal 9 4 77 7" xfId="41557"/>
    <cellStyle name="Normal 9 4 78" xfId="9875"/>
    <cellStyle name="Normal 9 4 78 2" xfId="16956"/>
    <cellStyle name="Normal 9 4 78 3" xfId="22073"/>
    <cellStyle name="Normal 9 4 78 4" xfId="27116"/>
    <cellStyle name="Normal 9 4 78 5" xfId="32077"/>
    <cellStyle name="Normal 9 4 78 6" xfId="36935"/>
    <cellStyle name="Normal 9 4 78 7" xfId="41666"/>
    <cellStyle name="Normal 9 4 79" xfId="9835"/>
    <cellStyle name="Normal 9 4 79 2" xfId="16916"/>
    <cellStyle name="Normal 9 4 79 3" xfId="22033"/>
    <cellStyle name="Normal 9 4 79 4" xfId="27076"/>
    <cellStyle name="Normal 9 4 79 5" xfId="32037"/>
    <cellStyle name="Normal 9 4 79 6" xfId="36895"/>
    <cellStyle name="Normal 9 4 79 7" xfId="41626"/>
    <cellStyle name="Normal 9 4 8" xfId="4541"/>
    <cellStyle name="Normal 9 4 8 2" xfId="6387"/>
    <cellStyle name="Normal 9 4 8 3" xfId="18497"/>
    <cellStyle name="Normal 9 4 8 4" xfId="23540"/>
    <cellStyle name="Normal 9 4 8 5" xfId="28501"/>
    <cellStyle name="Normal 9 4 8 6" xfId="33359"/>
    <cellStyle name="Normal 9 4 8 7" xfId="38090"/>
    <cellStyle name="Normal 9 4 80" xfId="9917"/>
    <cellStyle name="Normal 9 4 80 2" xfId="16998"/>
    <cellStyle name="Normal 9 4 80 3" xfId="22115"/>
    <cellStyle name="Normal 9 4 80 4" xfId="27158"/>
    <cellStyle name="Normal 9 4 80 5" xfId="32119"/>
    <cellStyle name="Normal 9 4 80 6" xfId="36977"/>
    <cellStyle name="Normal 9 4 80 7" xfId="41708"/>
    <cellStyle name="Normal 9 4 81" xfId="9959"/>
    <cellStyle name="Normal 9 4 81 2" xfId="17040"/>
    <cellStyle name="Normal 9 4 81 3" xfId="22157"/>
    <cellStyle name="Normal 9 4 81 4" xfId="27200"/>
    <cellStyle name="Normal 9 4 81 5" xfId="32161"/>
    <cellStyle name="Normal 9 4 81 6" xfId="37019"/>
    <cellStyle name="Normal 9 4 81 7" xfId="41750"/>
    <cellStyle name="Normal 9 4 82" xfId="10157"/>
    <cellStyle name="Normal 9 4 82 2" xfId="17238"/>
    <cellStyle name="Normal 9 4 82 3" xfId="22355"/>
    <cellStyle name="Normal 9 4 82 4" xfId="27398"/>
    <cellStyle name="Normal 9 4 82 5" xfId="32359"/>
    <cellStyle name="Normal 9 4 82 6" xfId="37217"/>
    <cellStyle name="Normal 9 4 82 7" xfId="41948"/>
    <cellStyle name="Normal 9 4 83" xfId="10096"/>
    <cellStyle name="Normal 9 4 83 2" xfId="17177"/>
    <cellStyle name="Normal 9 4 83 3" xfId="22294"/>
    <cellStyle name="Normal 9 4 83 4" xfId="27337"/>
    <cellStyle name="Normal 9 4 83 5" xfId="32298"/>
    <cellStyle name="Normal 9 4 83 6" xfId="37156"/>
    <cellStyle name="Normal 9 4 83 7" xfId="41887"/>
    <cellStyle name="Normal 9 4 84" xfId="10205"/>
    <cellStyle name="Normal 9 4 84 2" xfId="17286"/>
    <cellStyle name="Normal 9 4 84 3" xfId="22403"/>
    <cellStyle name="Normal 9 4 84 4" xfId="27446"/>
    <cellStyle name="Normal 9 4 84 5" xfId="32407"/>
    <cellStyle name="Normal 9 4 84 6" xfId="37265"/>
    <cellStyle name="Normal 9 4 84 7" xfId="41996"/>
    <cellStyle name="Normal 9 4 85" xfId="10165"/>
    <cellStyle name="Normal 9 4 85 2" xfId="17246"/>
    <cellStyle name="Normal 9 4 85 3" xfId="22363"/>
    <cellStyle name="Normal 9 4 85 4" xfId="27406"/>
    <cellStyle name="Normal 9 4 85 5" xfId="32367"/>
    <cellStyle name="Normal 9 4 85 6" xfId="37225"/>
    <cellStyle name="Normal 9 4 85 7" xfId="41956"/>
    <cellStyle name="Normal 9 4 86" xfId="10247"/>
    <cellStyle name="Normal 9 4 86 2" xfId="17328"/>
    <cellStyle name="Normal 9 4 86 3" xfId="22445"/>
    <cellStyle name="Normal 9 4 86 4" xfId="27488"/>
    <cellStyle name="Normal 9 4 86 5" xfId="32449"/>
    <cellStyle name="Normal 9 4 86 6" xfId="37307"/>
    <cellStyle name="Normal 9 4 86 7" xfId="42038"/>
    <cellStyle name="Normal 9 4 87" xfId="10289"/>
    <cellStyle name="Normal 9 4 87 2" xfId="17370"/>
    <cellStyle name="Normal 9 4 87 3" xfId="22487"/>
    <cellStyle name="Normal 9 4 87 4" xfId="27530"/>
    <cellStyle name="Normal 9 4 87 5" xfId="32491"/>
    <cellStyle name="Normal 9 4 87 6" xfId="37349"/>
    <cellStyle name="Normal 9 4 87 7" xfId="42080"/>
    <cellStyle name="Normal 9 4 88" xfId="12517"/>
    <cellStyle name="Normal 9 4 89" xfId="12689"/>
    <cellStyle name="Normal 9 4 9" xfId="4515"/>
    <cellStyle name="Normal 9 4 9 2" xfId="6030"/>
    <cellStyle name="Normal 9 4 9 3" xfId="18134"/>
    <cellStyle name="Normal 9 4 9 4" xfId="23177"/>
    <cellStyle name="Normal 9 4 9 5" xfId="28138"/>
    <cellStyle name="Normal 9 4 9 6" xfId="32996"/>
    <cellStyle name="Normal 9 4 9 7" xfId="37727"/>
    <cellStyle name="Normal 9 4 90" xfId="12695"/>
    <cellStyle name="Normal 9 4 91" xfId="12213"/>
    <cellStyle name="Normal 9 4 92" xfId="12903"/>
    <cellStyle name="Normal 9 4 93" xfId="14140"/>
    <cellStyle name="Normal 9 5" xfId="2470"/>
    <cellStyle name="Normal 9 5 2" xfId="13017"/>
    <cellStyle name="Normal 9 5 3" xfId="14000"/>
    <cellStyle name="Normal 9 5 4" xfId="17720"/>
    <cellStyle name="Normal 9 5 5" xfId="22793"/>
    <cellStyle name="Normal 9 5 6" xfId="27790"/>
    <cellStyle name="Normal 9 5 7" xfId="32684"/>
    <cellStyle name="Normal 9 6" xfId="10386"/>
    <cellStyle name="Normal 9 7" xfId="10699"/>
    <cellStyle name="Normal 9 8" xfId="10983"/>
    <cellStyle name="Normal 9 9" xfId="11271"/>
    <cellStyle name="Normal 90" xfId="415"/>
    <cellStyle name="Normal 90 10" xfId="12609"/>
    <cellStyle name="Normal 90 2" xfId="10626"/>
    <cellStyle name="Normal 90 3" xfId="10940"/>
    <cellStyle name="Normal 90 4" xfId="11224"/>
    <cellStyle name="Normal 90 5" xfId="11615"/>
    <cellStyle name="Normal 90 6" xfId="13137"/>
    <cellStyle name="Normal 90 7" xfId="12584"/>
    <cellStyle name="Normal 90 8" xfId="13435"/>
    <cellStyle name="Normal 90 9" xfId="12279"/>
    <cellStyle name="Normal 91" xfId="379"/>
    <cellStyle name="Normal 91 10" xfId="32672"/>
    <cellStyle name="Normal 91 2" xfId="10590"/>
    <cellStyle name="Normal 91 3" xfId="10904"/>
    <cellStyle name="Normal 91 4" xfId="11188"/>
    <cellStyle name="Normal 91 5" xfId="11579"/>
    <cellStyle name="Normal 91 6" xfId="13970"/>
    <cellStyle name="Normal 91 7" xfId="17695"/>
    <cellStyle name="Normal 91 8" xfId="22771"/>
    <cellStyle name="Normal 91 9" xfId="27772"/>
    <cellStyle name="Normal 92" xfId="416"/>
    <cellStyle name="Normal 92 10" xfId="17474"/>
    <cellStyle name="Normal 92 2" xfId="10627"/>
    <cellStyle name="Normal 92 3" xfId="10941"/>
    <cellStyle name="Normal 92 4" xfId="11225"/>
    <cellStyle name="Normal 92 5" xfId="11616"/>
    <cellStyle name="Normal 92 6" xfId="12321"/>
    <cellStyle name="Normal 92 7" xfId="13696"/>
    <cellStyle name="Normal 92 8" xfId="13671"/>
    <cellStyle name="Normal 92 9" xfId="13725"/>
    <cellStyle name="Normal 93" xfId="412"/>
    <cellStyle name="Normal 93 10" xfId="12507"/>
    <cellStyle name="Normal 93 2" xfId="10623"/>
    <cellStyle name="Normal 93 3" xfId="10937"/>
    <cellStyle name="Normal 93 4" xfId="11221"/>
    <cellStyle name="Normal 93 5" xfId="11612"/>
    <cellStyle name="Normal 93 6" xfId="13706"/>
    <cellStyle name="Normal 93 7" xfId="11965"/>
    <cellStyle name="Normal 93 8" xfId="13572"/>
    <cellStyle name="Normal 93 9" xfId="12933"/>
    <cellStyle name="Normal 94" xfId="421"/>
    <cellStyle name="Normal 94 10" xfId="12142"/>
    <cellStyle name="Normal 94 2" xfId="10632"/>
    <cellStyle name="Normal 94 3" xfId="10946"/>
    <cellStyle name="Normal 94 4" xfId="11230"/>
    <cellStyle name="Normal 94 5" xfId="11621"/>
    <cellStyle name="Normal 94 6" xfId="12918"/>
    <cellStyle name="Normal 94 7" xfId="12153"/>
    <cellStyle name="Normal 94 8" xfId="13317"/>
    <cellStyle name="Normal 94 9" xfId="12294"/>
    <cellStyle name="Normal 95" xfId="755"/>
    <cellStyle name="Normal 95 10" xfId="13882"/>
    <cellStyle name="Normal 95 2" xfId="10640"/>
    <cellStyle name="Normal 95 3" xfId="10954"/>
    <cellStyle name="Normal 95 4" xfId="11238"/>
    <cellStyle name="Normal 95 5" xfId="11854"/>
    <cellStyle name="Normal 95 6" xfId="12824"/>
    <cellStyle name="Normal 95 7" xfId="11820"/>
    <cellStyle name="Normal 95 8" xfId="11978"/>
    <cellStyle name="Normal 95 9" xfId="12608"/>
    <cellStyle name="Normal 96" xfId="792"/>
    <cellStyle name="Normal 96 10" xfId="27700"/>
    <cellStyle name="Normal 96 2" xfId="10651"/>
    <cellStyle name="Normal 96 3" xfId="10965"/>
    <cellStyle name="Normal 96 4" xfId="11249"/>
    <cellStyle name="Normal 96 5" xfId="11879"/>
    <cellStyle name="Normal 96 6" xfId="11890"/>
    <cellStyle name="Normal 96 7" xfId="13849"/>
    <cellStyle name="Normal 96 8" xfId="17588"/>
    <cellStyle name="Normal 96 9" xfId="22682"/>
    <cellStyle name="Normal 97" xfId="826"/>
    <cellStyle name="Normal 97 10" xfId="13235"/>
    <cellStyle name="Normal 97 2" xfId="10652"/>
    <cellStyle name="Normal 97 3" xfId="10966"/>
    <cellStyle name="Normal 97 4" xfId="11250"/>
    <cellStyle name="Normal 97 5" xfId="11898"/>
    <cellStyle name="Normal 97 6" xfId="12872"/>
    <cellStyle name="Normal 97 7" xfId="11977"/>
    <cellStyle name="Normal 97 8" xfId="12854"/>
    <cellStyle name="Normal 97 9" xfId="13679"/>
    <cellStyle name="Normal 98" xfId="859"/>
    <cellStyle name="Normal 98 10" xfId="32687"/>
    <cellStyle name="Normal 98 2" xfId="10641"/>
    <cellStyle name="Normal 98 3" xfId="10955"/>
    <cellStyle name="Normal 98 4" xfId="11239"/>
    <cellStyle name="Normal 98 5" xfId="11925"/>
    <cellStyle name="Normal 98 6" xfId="14008"/>
    <cellStyle name="Normal 98 7" xfId="17728"/>
    <cellStyle name="Normal 98 8" xfId="22800"/>
    <cellStyle name="Normal 98 9" xfId="27795"/>
    <cellStyle name="Normal 99" xfId="893"/>
    <cellStyle name="Normal 99 10" xfId="12732"/>
    <cellStyle name="Normal 99 2" xfId="10649"/>
    <cellStyle name="Normal 99 3" xfId="10963"/>
    <cellStyle name="Normal 99 4" xfId="11247"/>
    <cellStyle name="Normal 99 5" xfId="11949"/>
    <cellStyle name="Normal 99 6" xfId="12496"/>
    <cellStyle name="Normal 99 7" xfId="12738"/>
    <cellStyle name="Normal 99 8" xfId="13363"/>
    <cellStyle name="Normal 99 9" xfId="11687"/>
    <cellStyle name="Note" xfId="41" builtinId="10" customBuiltin="1"/>
    <cellStyle name="Note 10" xfId="583"/>
    <cellStyle name="Note 10 2" xfId="11733"/>
    <cellStyle name="Note 10 3" xfId="13774"/>
    <cellStyle name="Note 10 4" xfId="17517"/>
    <cellStyle name="Note 10 5" xfId="22622"/>
    <cellStyle name="Note 10 6" xfId="27651"/>
    <cellStyle name="Note 10 7" xfId="32605"/>
    <cellStyle name="Note 11" xfId="475"/>
    <cellStyle name="Note 11 2" xfId="11656"/>
    <cellStyle name="Note 11 3" xfId="12755"/>
    <cellStyle name="Note 11 4" xfId="12757"/>
    <cellStyle name="Note 11 5" xfId="13202"/>
    <cellStyle name="Note 11 6" xfId="13212"/>
    <cellStyle name="Note 11 7" xfId="12926"/>
    <cellStyle name="Note 12" xfId="573"/>
    <cellStyle name="Note 12 2" xfId="11727"/>
    <cellStyle name="Note 12 3" xfId="12950"/>
    <cellStyle name="Note 12 4" xfId="14071"/>
    <cellStyle name="Note 12 5" xfId="17785"/>
    <cellStyle name="Note 12 6" xfId="22850"/>
    <cellStyle name="Note 12 7" xfId="27830"/>
    <cellStyle name="Note 13" xfId="604"/>
    <cellStyle name="Note 13 2" xfId="11748"/>
    <cellStyle name="Note 13 3" xfId="12371"/>
    <cellStyle name="Note 13 4" xfId="13969"/>
    <cellStyle name="Note 13 5" xfId="17694"/>
    <cellStyle name="Note 13 6" xfId="22770"/>
    <cellStyle name="Note 13 7" xfId="27771"/>
    <cellStyle name="Note 14" xfId="541"/>
    <cellStyle name="Note 14 2" xfId="11703"/>
    <cellStyle name="Note 14 3" xfId="14073"/>
    <cellStyle name="Note 14 4" xfId="17787"/>
    <cellStyle name="Note 14 5" xfId="22852"/>
    <cellStyle name="Note 14 6" xfId="27831"/>
    <cellStyle name="Note 14 7" xfId="32712"/>
    <cellStyle name="Note 15" xfId="630"/>
    <cellStyle name="Note 15 2" xfId="11769"/>
    <cellStyle name="Note 15 3" xfId="13998"/>
    <cellStyle name="Note 15 4" xfId="17718"/>
    <cellStyle name="Note 15 5" xfId="22791"/>
    <cellStyle name="Note 15 6" xfId="27789"/>
    <cellStyle name="Note 15 7" xfId="32683"/>
    <cellStyle name="Note 16" xfId="653"/>
    <cellStyle name="Note 16 2" xfId="11784"/>
    <cellStyle name="Note 16 3" xfId="14137"/>
    <cellStyle name="Note 16 4" xfId="17844"/>
    <cellStyle name="Note 16 5" xfId="22899"/>
    <cellStyle name="Note 16 6" xfId="27867"/>
    <cellStyle name="Note 16 7" xfId="32736"/>
    <cellStyle name="Note 17" xfId="580"/>
    <cellStyle name="Note 17 2" xfId="11731"/>
    <cellStyle name="Note 17 3" xfId="12324"/>
    <cellStyle name="Note 17 4" xfId="12463"/>
    <cellStyle name="Note 17 5" xfId="14009"/>
    <cellStyle name="Note 17 6" xfId="17729"/>
    <cellStyle name="Note 17 7" xfId="22801"/>
    <cellStyle name="Note 18" xfId="612"/>
    <cellStyle name="Note 18 2" xfId="11754"/>
    <cellStyle name="Note 18 3" xfId="12040"/>
    <cellStyle name="Note 18 4" xfId="13815"/>
    <cellStyle name="Note 18 5" xfId="17556"/>
    <cellStyle name="Note 18 6" xfId="22653"/>
    <cellStyle name="Note 18 7" xfId="27677"/>
    <cellStyle name="Note 19" xfId="650"/>
    <cellStyle name="Note 19 2" xfId="11782"/>
    <cellStyle name="Note 19 3" xfId="13506"/>
    <cellStyle name="Note 19 4" xfId="14104"/>
    <cellStyle name="Note 19 5" xfId="17814"/>
    <cellStyle name="Note 19 6" xfId="22875"/>
    <cellStyle name="Note 19 7" xfId="27847"/>
    <cellStyle name="Note 2" xfId="107"/>
    <cellStyle name="Note 2 10" xfId="22884"/>
    <cellStyle name="Note 2 2" xfId="5746"/>
    <cellStyle name="Note 2 3" xfId="10879"/>
    <cellStyle name="Note 2 4" xfId="11163"/>
    <cellStyle name="Note 2 5" xfId="11311"/>
    <cellStyle name="Note 2 6" xfId="13383"/>
    <cellStyle name="Note 2 7" xfId="13209"/>
    <cellStyle name="Note 2 8" xfId="14117"/>
    <cellStyle name="Note 2 9" xfId="17825"/>
    <cellStyle name="Note 20" xfId="586"/>
    <cellStyle name="Note 20 2" xfId="11736"/>
    <cellStyle name="Note 20 3" xfId="13476"/>
    <cellStyle name="Note 20 4" xfId="11288"/>
    <cellStyle name="Note 20 5" xfId="11315"/>
    <cellStyle name="Note 20 6" xfId="13939"/>
    <cellStyle name="Note 20 7" xfId="17667"/>
    <cellStyle name="Note 21" xfId="1019"/>
    <cellStyle name="Note 21 2" xfId="12042"/>
    <cellStyle name="Note 21 3" xfId="13089"/>
    <cellStyle name="Note 21 4" xfId="12452"/>
    <cellStyle name="Note 21 5" xfId="13983"/>
    <cellStyle name="Note 21 6" xfId="17706"/>
    <cellStyle name="Note 21 7" xfId="22782"/>
    <cellStyle name="Note 22" xfId="1115"/>
    <cellStyle name="Note 22 2" xfId="12103"/>
    <cellStyle name="Note 22 3" xfId="14155"/>
    <cellStyle name="Note 22 4" xfId="17859"/>
    <cellStyle name="Note 22 5" xfId="22909"/>
    <cellStyle name="Note 22 6" xfId="27877"/>
    <cellStyle name="Note 22 7" xfId="32744"/>
    <cellStyle name="Note 23" xfId="1026"/>
    <cellStyle name="Note 23 2" xfId="12049"/>
    <cellStyle name="Note 23 3" xfId="13425"/>
    <cellStyle name="Note 23 4" xfId="10668"/>
    <cellStyle name="Note 23 5" xfId="12683"/>
    <cellStyle name="Note 23 6" xfId="13674"/>
    <cellStyle name="Note 23 7" xfId="13853"/>
    <cellStyle name="Note 24" xfId="1106"/>
    <cellStyle name="Note 24 2" xfId="12097"/>
    <cellStyle name="Note 24 3" xfId="12277"/>
    <cellStyle name="Note 24 4" xfId="12778"/>
    <cellStyle name="Note 24 5" xfId="13744"/>
    <cellStyle name="Note 24 6" xfId="17491"/>
    <cellStyle name="Note 24 7" xfId="22601"/>
    <cellStyle name="Note 25" xfId="1134"/>
    <cellStyle name="Note 25 2" xfId="12118"/>
    <cellStyle name="Note 25 3" xfId="11922"/>
    <cellStyle name="Note 25 4" xfId="12299"/>
    <cellStyle name="Note 25 5" xfId="10682"/>
    <cellStyle name="Note 25 6" xfId="13570"/>
    <cellStyle name="Note 25 7" xfId="13092"/>
    <cellStyle name="Note 26" xfId="1079"/>
    <cellStyle name="Note 26 2" xfId="12079"/>
    <cellStyle name="Note 26 3" xfId="12593"/>
    <cellStyle name="Note 26 4" xfId="11931"/>
    <cellStyle name="Note 26 5" xfId="12176"/>
    <cellStyle name="Note 26 6" xfId="11774"/>
    <cellStyle name="Note 26 7" xfId="11336"/>
    <cellStyle name="Note 27" xfId="1158"/>
    <cellStyle name="Note 27 2" xfId="12135"/>
    <cellStyle name="Note 27 3" xfId="13579"/>
    <cellStyle name="Note 27 4" xfId="12666"/>
    <cellStyle name="Note 27 5" xfId="13559"/>
    <cellStyle name="Note 27 6" xfId="14027"/>
    <cellStyle name="Note 27 7" xfId="17745"/>
    <cellStyle name="Note 28" xfId="1460"/>
    <cellStyle name="Note 28 10" xfId="12331"/>
    <cellStyle name="Note 28 11" xfId="12768"/>
    <cellStyle name="Note 28 12" xfId="11686"/>
    <cellStyle name="Note 28 13" xfId="12605"/>
    <cellStyle name="Note 28 14" xfId="12500"/>
    <cellStyle name="Note 28 2" xfId="2654"/>
    <cellStyle name="Note 28 2 2" xfId="13165"/>
    <cellStyle name="Note 28 2 3" xfId="13358"/>
    <cellStyle name="Note 28 2 4" xfId="11867"/>
    <cellStyle name="Note 28 2 5" xfId="13651"/>
    <cellStyle name="Note 28 2 6" xfId="11822"/>
    <cellStyle name="Note 28 2 7" xfId="11845"/>
    <cellStyle name="Note 28 3" xfId="3002"/>
    <cellStyle name="Note 28 3 2" xfId="13407"/>
    <cellStyle name="Note 28 3 3" xfId="13961"/>
    <cellStyle name="Note 28 3 4" xfId="17687"/>
    <cellStyle name="Note 28 3 5" xfId="22765"/>
    <cellStyle name="Note 28 3 6" xfId="27768"/>
    <cellStyle name="Note 28 3 7" xfId="32670"/>
    <cellStyle name="Note 28 4" xfId="2264"/>
    <cellStyle name="Note 28 4 2" xfId="12879"/>
    <cellStyle name="Note 28 4 3" xfId="12902"/>
    <cellStyle name="Note 28 4 4" xfId="12443"/>
    <cellStyle name="Note 28 4 5" xfId="12799"/>
    <cellStyle name="Note 28 4 6" xfId="13001"/>
    <cellStyle name="Note 28 4 7" xfId="14100"/>
    <cellStyle name="Note 28 5" xfId="2280"/>
    <cellStyle name="Note 28 5 2" xfId="12888"/>
    <cellStyle name="Note 28 5 3" xfId="12497"/>
    <cellStyle name="Note 28 5 4" xfId="12453"/>
    <cellStyle name="Note 28 5 5" xfId="13847"/>
    <cellStyle name="Note 28 5 6" xfId="17586"/>
    <cellStyle name="Note 28 5 7" xfId="22680"/>
    <cellStyle name="Note 28 6" xfId="3646"/>
    <cellStyle name="Note 28 6 2" xfId="13836"/>
    <cellStyle name="Note 28 6 3" xfId="17576"/>
    <cellStyle name="Note 28 6 4" xfId="22671"/>
    <cellStyle name="Note 28 6 5" xfId="27691"/>
    <cellStyle name="Note 28 6 6" xfId="32626"/>
    <cellStyle name="Note 28 6 7" xfId="37457"/>
    <cellStyle name="Note 28 7" xfId="3839"/>
    <cellStyle name="Note 28 7 2" xfId="13972"/>
    <cellStyle name="Note 28 7 3" xfId="17697"/>
    <cellStyle name="Note 28 7 4" xfId="22773"/>
    <cellStyle name="Note 28 7 5" xfId="27774"/>
    <cellStyle name="Note 28 7 6" xfId="32673"/>
    <cellStyle name="Note 28 7 7" xfId="37469"/>
    <cellStyle name="Note 28 8" xfId="4000"/>
    <cellStyle name="Note 28 8 2" xfId="14079"/>
    <cellStyle name="Note 28 8 3" xfId="17793"/>
    <cellStyle name="Note 28 8 4" xfId="22858"/>
    <cellStyle name="Note 28 8 5" xfId="27836"/>
    <cellStyle name="Note 28 8 6" xfId="32716"/>
    <cellStyle name="Note 28 8 7" xfId="37477"/>
    <cellStyle name="Note 28 9" xfId="12345"/>
    <cellStyle name="Note 29" xfId="1335"/>
    <cellStyle name="Note 29 10" xfId="13895"/>
    <cellStyle name="Note 29 11" xfId="17628"/>
    <cellStyle name="Note 29 12" xfId="22714"/>
    <cellStyle name="Note 29 13" xfId="27724"/>
    <cellStyle name="Note 29 14" xfId="32645"/>
    <cellStyle name="Note 29 2" xfId="2536"/>
    <cellStyle name="Note 29 2 2" xfId="13080"/>
    <cellStyle name="Note 29 2 3" xfId="13530"/>
    <cellStyle name="Note 29 2 4" xfId="11972"/>
    <cellStyle name="Note 29 2 5" xfId="12871"/>
    <cellStyle name="Note 29 2 6" xfId="11995"/>
    <cellStyle name="Note 29 2 7" xfId="11979"/>
    <cellStyle name="Note 29 3" xfId="2884"/>
    <cellStyle name="Note 29 3 2" xfId="13319"/>
    <cellStyle name="Note 29 3 3" xfId="13924"/>
    <cellStyle name="Note 29 3 4" xfId="17655"/>
    <cellStyle name="Note 29 3 5" xfId="22737"/>
    <cellStyle name="Note 29 3 6" xfId="27742"/>
    <cellStyle name="Note 29 3 7" xfId="32653"/>
    <cellStyle name="Note 29 4" xfId="3354"/>
    <cellStyle name="Note 29 4 2" xfId="13635"/>
    <cellStyle name="Note 29 4 3" xfId="13668"/>
    <cellStyle name="Note 29 4 4" xfId="13406"/>
    <cellStyle name="Note 29 4 5" xfId="14069"/>
    <cellStyle name="Note 29 4 6" xfId="17783"/>
    <cellStyle name="Note 29 4 7" xfId="22848"/>
    <cellStyle name="Note 29 5" xfId="2175"/>
    <cellStyle name="Note 29 5 2" xfId="12825"/>
    <cellStyle name="Note 29 5 3" xfId="11790"/>
    <cellStyle name="Note 29 5 4" xfId="14167"/>
    <cellStyle name="Note 29 5 5" xfId="17870"/>
    <cellStyle name="Note 29 5 6" xfId="22918"/>
    <cellStyle name="Note 29 5 7" xfId="27884"/>
    <cellStyle name="Note 29 6" xfId="3606"/>
    <cellStyle name="Note 29 6 2" xfId="13809"/>
    <cellStyle name="Note 29 6 3" xfId="17550"/>
    <cellStyle name="Note 29 6 4" xfId="22648"/>
    <cellStyle name="Note 29 6 5" xfId="27672"/>
    <cellStyle name="Note 29 6 6" xfId="32617"/>
    <cellStyle name="Note 29 6 7" xfId="37454"/>
    <cellStyle name="Note 29 7" xfId="3805"/>
    <cellStyle name="Note 29 7 2" xfId="13945"/>
    <cellStyle name="Note 29 7 3" xfId="17673"/>
    <cellStyle name="Note 29 7 4" xfId="22754"/>
    <cellStyle name="Note 29 7 5" xfId="27758"/>
    <cellStyle name="Note 29 7 6" xfId="32664"/>
    <cellStyle name="Note 29 7 7" xfId="37466"/>
    <cellStyle name="Note 29 8" xfId="3971"/>
    <cellStyle name="Note 29 8 2" xfId="14057"/>
    <cellStyle name="Note 29 8 3" xfId="17773"/>
    <cellStyle name="Note 29 8 4" xfId="22839"/>
    <cellStyle name="Note 29 8 5" xfId="27822"/>
    <cellStyle name="Note 29 8 6" xfId="32705"/>
    <cellStyle name="Note 29 8 7" xfId="37474"/>
    <cellStyle name="Note 29 9" xfId="12259"/>
    <cellStyle name="Note 3" xfId="136"/>
    <cellStyle name="Note 3 10" xfId="11738"/>
    <cellStyle name="Note 3 11" xfId="13892"/>
    <cellStyle name="Note 3 2" xfId="357"/>
    <cellStyle name="Note 3 2 2" xfId="11557"/>
    <cellStyle name="Note 3 2 3" xfId="12229"/>
    <cellStyle name="Note 3 2 4" xfId="12035"/>
    <cellStyle name="Note 3 2 5" xfId="13923"/>
    <cellStyle name="Note 3 2 6" xfId="17654"/>
    <cellStyle name="Note 3 2 7" xfId="22736"/>
    <cellStyle name="Note 3 3" xfId="10568"/>
    <cellStyle name="Note 3 4" xfId="10882"/>
    <cellStyle name="Note 3 5" xfId="11166"/>
    <cellStyle name="Note 3 6" xfId="11340"/>
    <cellStyle name="Note 3 7" xfId="12531"/>
    <cellStyle name="Note 3 8" xfId="12177"/>
    <cellStyle name="Note 3 9" xfId="11701"/>
    <cellStyle name="Note 30" xfId="1571"/>
    <cellStyle name="Note 30 10" xfId="11836"/>
    <cellStyle name="Note 30 11" xfId="13532"/>
    <cellStyle name="Note 30 12" xfId="11932"/>
    <cellStyle name="Note 30 13" xfId="11306"/>
    <cellStyle name="Note 30 14" xfId="11392"/>
    <cellStyle name="Note 30 2" xfId="2759"/>
    <cellStyle name="Note 30 2 2" xfId="13234"/>
    <cellStyle name="Note 30 2 3" xfId="12101"/>
    <cellStyle name="Note 30 2 4" xfId="13179"/>
    <cellStyle name="Note 30 2 5" xfId="12251"/>
    <cellStyle name="Note 30 2 6" xfId="13908"/>
    <cellStyle name="Note 30 2 7" xfId="17641"/>
    <cellStyle name="Note 30 3" xfId="3108"/>
    <cellStyle name="Note 30 3 2" xfId="13478"/>
    <cellStyle name="Note 30 3 3" xfId="12059"/>
    <cellStyle name="Note 30 3 4" xfId="12051"/>
    <cellStyle name="Note 30 3 5" xfId="12363"/>
    <cellStyle name="Note 30 3 6" xfId="14035"/>
    <cellStyle name="Note 30 3 7" xfId="17753"/>
    <cellStyle name="Note 30 4" xfId="3320"/>
    <cellStyle name="Note 30 4 2" xfId="13609"/>
    <cellStyle name="Note 30 4 3" xfId="12465"/>
    <cellStyle name="Note 30 4 4" xfId="13373"/>
    <cellStyle name="Note 30 4 5" xfId="12866"/>
    <cellStyle name="Note 30 4 6" xfId="12383"/>
    <cellStyle name="Note 30 4 7" xfId="14148"/>
    <cellStyle name="Note 30 5" xfId="3361"/>
    <cellStyle name="Note 30 5 2" xfId="13640"/>
    <cellStyle name="Note 30 5 3" xfId="12208"/>
    <cellStyle name="Note 30 5 4" xfId="13855"/>
    <cellStyle name="Note 30 5 5" xfId="17591"/>
    <cellStyle name="Note 30 5 6" xfId="22685"/>
    <cellStyle name="Note 30 5 7" xfId="27702"/>
    <cellStyle name="Note 30 6" xfId="2423"/>
    <cellStyle name="Note 30 6 2" xfId="12980"/>
    <cellStyle name="Note 30 6 3" xfId="11996"/>
    <cellStyle name="Note 30 6 4" xfId="11964"/>
    <cellStyle name="Note 30 6 5" xfId="13244"/>
    <cellStyle name="Note 30 6 6" xfId="11793"/>
    <cellStyle name="Note 30 6 7" xfId="13843"/>
    <cellStyle name="Note 30 7" xfId="3535"/>
    <cellStyle name="Note 30 7 2" xfId="13761"/>
    <cellStyle name="Note 30 7 3" xfId="17506"/>
    <cellStyle name="Note 30 7 4" xfId="22611"/>
    <cellStyle name="Note 30 7 5" xfId="27643"/>
    <cellStyle name="Note 30 7 6" xfId="32599"/>
    <cellStyle name="Note 30 7 7" xfId="37451"/>
    <cellStyle name="Note 30 8" xfId="3741"/>
    <cellStyle name="Note 30 8 2" xfId="13900"/>
    <cellStyle name="Note 30 8 3" xfId="17633"/>
    <cellStyle name="Note 30 8 4" xfId="22719"/>
    <cellStyle name="Note 30 8 5" xfId="27728"/>
    <cellStyle name="Note 30 8 6" xfId="32647"/>
    <cellStyle name="Note 30 8 7" xfId="37463"/>
    <cellStyle name="Note 30 9" xfId="12423"/>
    <cellStyle name="Note 31" xfId="1570"/>
    <cellStyle name="Note 31 10" xfId="11864"/>
    <cellStyle name="Note 31 11" xfId="12543"/>
    <cellStyle name="Note 31 12" xfId="11861"/>
    <cellStyle name="Note 31 13" xfId="14036"/>
    <cellStyle name="Note 31 14" xfId="17754"/>
    <cellStyle name="Note 31 2" xfId="2758"/>
    <cellStyle name="Note 31 2 2" xfId="13233"/>
    <cellStyle name="Note 31 2 3" xfId="12417"/>
    <cellStyle name="Note 31 2 4" xfId="11878"/>
    <cellStyle name="Note 31 2 5" xfId="11913"/>
    <cellStyle name="Note 31 2 6" xfId="12614"/>
    <cellStyle name="Note 31 2 7" xfId="13270"/>
    <cellStyle name="Note 31 3" xfId="3107"/>
    <cellStyle name="Note 31 3 2" xfId="13477"/>
    <cellStyle name="Note 31 3 3" xfId="12117"/>
    <cellStyle name="Note 31 3 4" xfId="11945"/>
    <cellStyle name="Note 31 3 5" xfId="13766"/>
    <cellStyle name="Note 31 3 6" xfId="17510"/>
    <cellStyle name="Note 31 3 7" xfId="22615"/>
    <cellStyle name="Note 31 4" xfId="3278"/>
    <cellStyle name="Note 31 4 2" xfId="13587"/>
    <cellStyle name="Note 31 4 3" xfId="11287"/>
    <cellStyle name="Note 31 4 4" xfId="12174"/>
    <cellStyle name="Note 31 4 5" xfId="11697"/>
    <cellStyle name="Note 31 4 6" xfId="10691"/>
    <cellStyle name="Note 31 4 7" xfId="12316"/>
    <cellStyle name="Note 31 5" xfId="3352"/>
    <cellStyle name="Note 31 5 2" xfId="13633"/>
    <cellStyle name="Note 31 5 3" xfId="12308"/>
    <cellStyle name="Note 31 5 4" xfId="13816"/>
    <cellStyle name="Note 31 5 5" xfId="17557"/>
    <cellStyle name="Note 31 5 6" xfId="22654"/>
    <cellStyle name="Note 31 5 7" xfId="27678"/>
    <cellStyle name="Note 31 6" xfId="1953"/>
    <cellStyle name="Note 31 6 2" xfId="12681"/>
    <cellStyle name="Note 31 6 3" xfId="12550"/>
    <cellStyle name="Note 31 6 4" xfId="12502"/>
    <cellStyle name="Note 31 6 5" xfId="13974"/>
    <cellStyle name="Note 31 6 6" xfId="17699"/>
    <cellStyle name="Note 31 6 7" xfId="22775"/>
    <cellStyle name="Note 31 7" xfId="2107"/>
    <cellStyle name="Note 31 7 2" xfId="12781"/>
    <cellStyle name="Note 31 7 3" xfId="13257"/>
    <cellStyle name="Note 31 7 4" xfId="13896"/>
    <cellStyle name="Note 31 7 5" xfId="17629"/>
    <cellStyle name="Note 31 7 6" xfId="22715"/>
    <cellStyle name="Note 31 7 7" xfId="27725"/>
    <cellStyle name="Note 31 8" xfId="3714"/>
    <cellStyle name="Note 31 8 2" xfId="13878"/>
    <cellStyle name="Note 31 8 3" xfId="17613"/>
    <cellStyle name="Note 31 8 4" xfId="22702"/>
    <cellStyle name="Note 31 8 5" xfId="27715"/>
    <cellStyle name="Note 31 8 6" xfId="32640"/>
    <cellStyle name="Note 31 8 7" xfId="37460"/>
    <cellStyle name="Note 31 9" xfId="12422"/>
    <cellStyle name="Note 32" xfId="1438"/>
    <cellStyle name="Note 32 10" xfId="12804"/>
    <cellStyle name="Note 32 11" xfId="12865"/>
    <cellStyle name="Note 32 12" xfId="13205"/>
    <cellStyle name="Note 32 13" xfId="12800"/>
    <cellStyle name="Note 32 14" xfId="13354"/>
    <cellStyle name="Note 32 2" xfId="2633"/>
    <cellStyle name="Note 32 2 2" xfId="13146"/>
    <cellStyle name="Note 32 2 3" xfId="14147"/>
    <cellStyle name="Note 32 2 4" xfId="17852"/>
    <cellStyle name="Note 32 2 5" xfId="22905"/>
    <cellStyle name="Note 32 2 6" xfId="27873"/>
    <cellStyle name="Note 32 2 7" xfId="32741"/>
    <cellStyle name="Note 32 3" xfId="2980"/>
    <cellStyle name="Note 32 3 2" xfId="13391"/>
    <cellStyle name="Note 32 3 3" xfId="13860"/>
    <cellStyle name="Note 32 3 4" xfId="17596"/>
    <cellStyle name="Note 32 3 5" xfId="22690"/>
    <cellStyle name="Note 32 3 6" xfId="27707"/>
    <cellStyle name="Note 32 3 7" xfId="32635"/>
    <cellStyle name="Note 32 4" xfId="2049"/>
    <cellStyle name="Note 32 4 2" xfId="12742"/>
    <cellStyle name="Note 32 4 3" xfId="13993"/>
    <cellStyle name="Note 32 4 4" xfId="17714"/>
    <cellStyle name="Note 32 4 5" xfId="22788"/>
    <cellStyle name="Note 32 4 6" xfId="27786"/>
    <cellStyle name="Note 32 4 7" xfId="32680"/>
    <cellStyle name="Note 32 5" xfId="2871"/>
    <cellStyle name="Note 32 5 2" xfId="13309"/>
    <cellStyle name="Note 32 5 3" xfId="13361"/>
    <cellStyle name="Note 32 5 4" xfId="11694"/>
    <cellStyle name="Note 32 5 5" xfId="12106"/>
    <cellStyle name="Note 32 5 6" xfId="13824"/>
    <cellStyle name="Note 32 5 7" xfId="17564"/>
    <cellStyle name="Note 32 6" xfId="1706"/>
    <cellStyle name="Note 32 6 2" xfId="12511"/>
    <cellStyle name="Note 32 6 3" xfId="12680"/>
    <cellStyle name="Note 32 6 4" xfId="12454"/>
    <cellStyle name="Note 32 6 5" xfId="12754"/>
    <cellStyle name="Note 32 6 6" xfId="13754"/>
    <cellStyle name="Note 32 6 7" xfId="17499"/>
    <cellStyle name="Note 32 7" xfId="3581"/>
    <cellStyle name="Note 32 7 2" xfId="13790"/>
    <cellStyle name="Note 32 7 3" xfId="17531"/>
    <cellStyle name="Note 32 7 4" xfId="22632"/>
    <cellStyle name="Note 32 7 5" xfId="27659"/>
    <cellStyle name="Note 32 7 6" xfId="32609"/>
    <cellStyle name="Note 32 7 7" xfId="37452"/>
    <cellStyle name="Note 32 8" xfId="3782"/>
    <cellStyle name="Note 32 8 2" xfId="13931"/>
    <cellStyle name="Note 32 8 3" xfId="17661"/>
    <cellStyle name="Note 32 8 4" xfId="22743"/>
    <cellStyle name="Note 32 8 5" xfId="27748"/>
    <cellStyle name="Note 32 8 6" xfId="32657"/>
    <cellStyle name="Note 32 8 7" xfId="37464"/>
    <cellStyle name="Note 32 9" xfId="12330"/>
    <cellStyle name="Note 33" xfId="1364"/>
    <cellStyle name="Note 33 10" xfId="13345"/>
    <cellStyle name="Note 33 11" xfId="12819"/>
    <cellStyle name="Note 33 12" xfId="11868"/>
    <cellStyle name="Note 33 13" xfId="13700"/>
    <cellStyle name="Note 33 14" xfId="12145"/>
    <cellStyle name="Note 33 2" xfId="2562"/>
    <cellStyle name="Note 33 2 2" xfId="13096"/>
    <cellStyle name="Note 33 2 3" xfId="12328"/>
    <cellStyle name="Note 33 2 4" xfId="13491"/>
    <cellStyle name="Note 33 2 5" xfId="13817"/>
    <cellStyle name="Note 33 2 6" xfId="17558"/>
    <cellStyle name="Note 33 2 7" xfId="22655"/>
    <cellStyle name="Note 33 3" xfId="2912"/>
    <cellStyle name="Note 33 3 2" xfId="13343"/>
    <cellStyle name="Note 33 3 3" xfId="13355"/>
    <cellStyle name="Note 33 3 4" xfId="12066"/>
    <cellStyle name="Note 33 3 5" xfId="11797"/>
    <cellStyle name="Note 33 3 6" xfId="12597"/>
    <cellStyle name="Note 33 3 7" xfId="11833"/>
    <cellStyle name="Note 33 4" xfId="3412"/>
    <cellStyle name="Note 33 4 2" xfId="13673"/>
    <cellStyle name="Note 33 4 3" xfId="13366"/>
    <cellStyle name="Note 33 4 4" xfId="11655"/>
    <cellStyle name="Note 33 4 5" xfId="13577"/>
    <cellStyle name="Note 33 4 6" xfId="13198"/>
    <cellStyle name="Note 33 4 7" xfId="13155"/>
    <cellStyle name="Note 33 5" xfId="3484"/>
    <cellStyle name="Note 33 5 2" xfId="13726"/>
    <cellStyle name="Note 33 5 3" xfId="17475"/>
    <cellStyle name="Note 33 5 4" xfId="22586"/>
    <cellStyle name="Note 33 5 5" xfId="27625"/>
    <cellStyle name="Note 33 5 6" xfId="32584"/>
    <cellStyle name="Note 33 5 7" xfId="37442"/>
    <cellStyle name="Note 33 6" xfId="3630"/>
    <cellStyle name="Note 33 6 2" xfId="13825"/>
    <cellStyle name="Note 33 6 3" xfId="17565"/>
    <cellStyle name="Note 33 6 4" xfId="22661"/>
    <cellStyle name="Note 33 6 5" xfId="27684"/>
    <cellStyle name="Note 33 6 6" xfId="32624"/>
    <cellStyle name="Note 33 6 7" xfId="37456"/>
    <cellStyle name="Note 33 7" xfId="3825"/>
    <cellStyle name="Note 33 7 2" xfId="13960"/>
    <cellStyle name="Note 33 7 3" xfId="17686"/>
    <cellStyle name="Note 33 7 4" xfId="22764"/>
    <cellStyle name="Note 33 7 5" xfId="27767"/>
    <cellStyle name="Note 33 7 6" xfId="32669"/>
    <cellStyle name="Note 33 7 7" xfId="37468"/>
    <cellStyle name="Note 33 8" xfId="3987"/>
    <cellStyle name="Note 33 8 2" xfId="14068"/>
    <cellStyle name="Note 33 8 3" xfId="17782"/>
    <cellStyle name="Note 33 8 4" xfId="22847"/>
    <cellStyle name="Note 33 8 5" xfId="27828"/>
    <cellStyle name="Note 33 8 6" xfId="32710"/>
    <cellStyle name="Note 33 8 7" xfId="37476"/>
    <cellStyle name="Note 33 9" xfId="12281"/>
    <cellStyle name="Note 34" xfId="1332"/>
    <cellStyle name="Note 34 10" xfId="13326"/>
    <cellStyle name="Note 34 11" xfId="13582"/>
    <cellStyle name="Note 34 12" xfId="12338"/>
    <cellStyle name="Note 34 13" xfId="14178"/>
    <cellStyle name="Note 34 14" xfId="17880"/>
    <cellStyle name="Note 34 2" xfId="2533"/>
    <cellStyle name="Note 34 2 2" xfId="13078"/>
    <cellStyle name="Note 34 2 3" xfId="12802"/>
    <cellStyle name="Note 34 2 4" xfId="12295"/>
    <cellStyle name="Note 34 2 5" xfId="12076"/>
    <cellStyle name="Note 34 2 6" xfId="13568"/>
    <cellStyle name="Note 34 2 7" xfId="13627"/>
    <cellStyle name="Note 34 3" xfId="2881"/>
    <cellStyle name="Note 34 3 2" xfId="13316"/>
    <cellStyle name="Note 34 3 3" xfId="13111"/>
    <cellStyle name="Note 34 3 4" xfId="12816"/>
    <cellStyle name="Note 34 3 5" xfId="11960"/>
    <cellStyle name="Note 34 3 6" xfId="12460"/>
    <cellStyle name="Note 34 3 7" xfId="13341"/>
    <cellStyle name="Note 34 4" xfId="3451"/>
    <cellStyle name="Note 34 4 2" xfId="13702"/>
    <cellStyle name="Note 34 4 3" xfId="12095"/>
    <cellStyle name="Note 34 4 4" xfId="13692"/>
    <cellStyle name="Note 34 4 5" xfId="13121"/>
    <cellStyle name="Note 34 4 6" xfId="10671"/>
    <cellStyle name="Note 34 4 7" xfId="13527"/>
    <cellStyle name="Note 34 5" xfId="1942"/>
    <cellStyle name="Note 34 5 2" xfId="12673"/>
    <cellStyle name="Note 34 5 3" xfId="13521"/>
    <cellStyle name="Note 34 5 4" xfId="12313"/>
    <cellStyle name="Note 34 5 5" xfId="13746"/>
    <cellStyle name="Note 34 5 6" xfId="17493"/>
    <cellStyle name="Note 34 5 7" xfId="22603"/>
    <cellStyle name="Note 34 6" xfId="3611"/>
    <cellStyle name="Note 34 6 2" xfId="13813"/>
    <cellStyle name="Note 34 6 3" xfId="17554"/>
    <cellStyle name="Note 34 6 4" xfId="22651"/>
    <cellStyle name="Note 34 6 5" xfId="27675"/>
    <cellStyle name="Note 34 6 6" xfId="32620"/>
    <cellStyle name="Note 34 6 7" xfId="37455"/>
    <cellStyle name="Note 34 7" xfId="3809"/>
    <cellStyle name="Note 34 7 2" xfId="13947"/>
    <cellStyle name="Note 34 7 3" xfId="17675"/>
    <cellStyle name="Note 34 7 4" xfId="22755"/>
    <cellStyle name="Note 34 7 5" xfId="27759"/>
    <cellStyle name="Note 34 7 6" xfId="32665"/>
    <cellStyle name="Note 34 7 7" xfId="37467"/>
    <cellStyle name="Note 34 8" xfId="3974"/>
    <cellStyle name="Note 34 8 2" xfId="14058"/>
    <cellStyle name="Note 34 8 3" xfId="17774"/>
    <cellStyle name="Note 34 8 4" xfId="22840"/>
    <cellStyle name="Note 34 8 5" xfId="27823"/>
    <cellStyle name="Note 34 8 6" xfId="32706"/>
    <cellStyle name="Note 34 8 7" xfId="37475"/>
    <cellStyle name="Note 34 9" xfId="12256"/>
    <cellStyle name="Note 35" xfId="1543"/>
    <cellStyle name="Note 35 10" xfId="12861"/>
    <cellStyle name="Note 35 11" xfId="12972"/>
    <cellStyle name="Note 35 12" xfId="12845"/>
    <cellStyle name="Note 35 13" xfId="13693"/>
    <cellStyle name="Note 35 14" xfId="12307"/>
    <cellStyle name="Note 35 2" xfId="2732"/>
    <cellStyle name="Note 35 2 2" xfId="13219"/>
    <cellStyle name="Note 35 2 3" xfId="13448"/>
    <cellStyle name="Note 35 2 4" xfId="12398"/>
    <cellStyle name="Note 35 2 5" xfId="13833"/>
    <cellStyle name="Note 35 2 6" xfId="17573"/>
    <cellStyle name="Note 35 2 7" xfId="22668"/>
    <cellStyle name="Note 35 3" xfId="3081"/>
    <cellStyle name="Note 35 3 2" xfId="13462"/>
    <cellStyle name="Note 35 3 3" xfId="14016"/>
    <cellStyle name="Note 35 3 4" xfId="17735"/>
    <cellStyle name="Note 35 3 5" xfId="22807"/>
    <cellStyle name="Note 35 3 6" xfId="27800"/>
    <cellStyle name="Note 35 3 7" xfId="32690"/>
    <cellStyle name="Note 35 4" xfId="3371"/>
    <cellStyle name="Note 35 4 2" xfId="13647"/>
    <cellStyle name="Note 35 4 3" xfId="11819"/>
    <cellStyle name="Note 35 4 4" xfId="12038"/>
    <cellStyle name="Note 35 4 5" xfId="14059"/>
    <cellStyle name="Note 35 4 6" xfId="17775"/>
    <cellStyle name="Note 35 4 7" xfId="22841"/>
    <cellStyle name="Note 35 5" xfId="3327"/>
    <cellStyle name="Note 35 5 2" xfId="13615"/>
    <cellStyle name="Note 35 5 3" xfId="13249"/>
    <cellStyle name="Note 35 5 4" xfId="11695"/>
    <cellStyle name="Note 35 5 5" xfId="11906"/>
    <cellStyle name="Note 35 5 6" xfId="13870"/>
    <cellStyle name="Note 35 5 7" xfId="17605"/>
    <cellStyle name="Note 35 6" xfId="3276"/>
    <cellStyle name="Note 35 6 2" xfId="13585"/>
    <cellStyle name="Note 35 6 3" xfId="12178"/>
    <cellStyle name="Note 35 6 4" xfId="12943"/>
    <cellStyle name="Note 35 6 5" xfId="12478"/>
    <cellStyle name="Note 35 6 6" xfId="11858"/>
    <cellStyle name="Note 35 6 7" xfId="13086"/>
    <cellStyle name="Note 35 7" xfId="3321"/>
    <cellStyle name="Note 35 7 2" xfId="13610"/>
    <cellStyle name="Note 35 7 3" xfId="13709"/>
    <cellStyle name="Note 35 7 4" xfId="11896"/>
    <cellStyle name="Note 35 7 5" xfId="12509"/>
    <cellStyle name="Note 35 7 6" xfId="13712"/>
    <cellStyle name="Note 35 7 7" xfId="17463"/>
    <cellStyle name="Note 35 8" xfId="2258"/>
    <cellStyle name="Note 35 8 2" xfId="12875"/>
    <cellStyle name="Note 35 8 3" xfId="11877"/>
    <cellStyle name="Note 35 8 4" xfId="11936"/>
    <cellStyle name="Note 35 8 5" xfId="11901"/>
    <cellStyle name="Note 35 8 6" xfId="13496"/>
    <cellStyle name="Note 35 8 7" xfId="13786"/>
    <cellStyle name="Note 35 9" xfId="12399"/>
    <cellStyle name="Note 36" xfId="42176"/>
    <cellStyle name="Note 37" xfId="42175"/>
    <cellStyle name="Note 38" xfId="42177"/>
    <cellStyle name="Note 4" xfId="362"/>
    <cellStyle name="Note 4 10" xfId="22602"/>
    <cellStyle name="Note 4 2" xfId="10573"/>
    <cellStyle name="Note 4 3" xfId="10887"/>
    <cellStyle name="Note 4 4" xfId="11171"/>
    <cellStyle name="Note 4 5" xfId="11562"/>
    <cellStyle name="Note 4 6" xfId="11702"/>
    <cellStyle name="Note 4 7" xfId="11649"/>
    <cellStyle name="Note 4 8" xfId="13745"/>
    <cellStyle name="Note 4 9" xfId="17492"/>
    <cellStyle name="Note 5" xfId="361"/>
    <cellStyle name="Note 5 10" xfId="22889"/>
    <cellStyle name="Note 5 2" xfId="10572"/>
    <cellStyle name="Note 5 3" xfId="10886"/>
    <cellStyle name="Note 5 4" xfId="11170"/>
    <cellStyle name="Note 5 5" xfId="11561"/>
    <cellStyle name="Note 5 6" xfId="12226"/>
    <cellStyle name="Note 5 7" xfId="12139"/>
    <cellStyle name="Note 5 8" xfId="14125"/>
    <cellStyle name="Note 5 9" xfId="17833"/>
    <cellStyle name="Note 6" xfId="363"/>
    <cellStyle name="Note 6 10" xfId="12439"/>
    <cellStyle name="Note 6 2" xfId="10574"/>
    <cellStyle name="Note 6 3" xfId="10888"/>
    <cellStyle name="Note 6 4" xfId="11172"/>
    <cellStyle name="Note 6 5" xfId="11563"/>
    <cellStyle name="Note 6 6" xfId="11674"/>
    <cellStyle name="Note 6 7" xfId="13650"/>
    <cellStyle name="Note 6 8" xfId="10665"/>
    <cellStyle name="Note 6 9" xfId="11713"/>
    <cellStyle name="Note 7" xfId="358"/>
    <cellStyle name="Note 7 10" xfId="17860"/>
    <cellStyle name="Note 7 2" xfId="10569"/>
    <cellStyle name="Note 7 3" xfId="10883"/>
    <cellStyle name="Note 7 4" xfId="11167"/>
    <cellStyle name="Note 7 5" xfId="11558"/>
    <cellStyle name="Note 7 6" xfId="12501"/>
    <cellStyle name="Note 7 7" xfId="12447"/>
    <cellStyle name="Note 7 8" xfId="12949"/>
    <cellStyle name="Note 7 9" xfId="14156"/>
    <cellStyle name="Note 8" xfId="365"/>
    <cellStyle name="Note 8 10" xfId="17530"/>
    <cellStyle name="Note 8 2" xfId="10576"/>
    <cellStyle name="Note 8 3" xfId="10890"/>
    <cellStyle name="Note 8 4" xfId="11174"/>
    <cellStyle name="Note 8 5" xfId="11565"/>
    <cellStyle name="Note 8 6" xfId="11752"/>
    <cellStyle name="Note 8 7" xfId="12129"/>
    <cellStyle name="Note 8 8" xfId="12837"/>
    <cellStyle name="Note 8 9" xfId="13789"/>
    <cellStyle name="Note 9" xfId="468"/>
    <cellStyle name="Note 9 2" xfId="11651"/>
    <cellStyle name="Note 9 3" xfId="13499"/>
    <cellStyle name="Note 9 4" xfId="12456"/>
    <cellStyle name="Note 9 5" xfId="13160"/>
    <cellStyle name="Note 9 6" xfId="13109"/>
    <cellStyle name="Note 9 7" xfId="12870"/>
    <cellStyle name="Output" xfId="42" builtinId="21" customBuiltin="1"/>
    <cellStyle name="Output 10" xfId="571"/>
    <cellStyle name="Output 11" xfId="645"/>
    <cellStyle name="Output 12" xfId="626"/>
    <cellStyle name="Output 13" xfId="673"/>
    <cellStyle name="Output 14" xfId="713"/>
    <cellStyle name="Output 15" xfId="752"/>
    <cellStyle name="Output 16" xfId="1020"/>
    <cellStyle name="Output 17" xfId="1114"/>
    <cellStyle name="Output 18" xfId="1142"/>
    <cellStyle name="Output 19" xfId="1032"/>
    <cellStyle name="Output 2" xfId="108"/>
    <cellStyle name="Output 2 2" xfId="5747"/>
    <cellStyle name="Output 20" xfId="1095"/>
    <cellStyle name="Output 21" xfId="1027"/>
    <cellStyle name="Output 22" xfId="1104"/>
    <cellStyle name="Output 23" xfId="1480"/>
    <cellStyle name="Output 23 2" xfId="2673"/>
    <cellStyle name="Output 23 3" xfId="3021"/>
    <cellStyle name="Output 23 4" xfId="3373"/>
    <cellStyle name="Output 23 5" xfId="1908"/>
    <cellStyle name="Output 23 6" xfId="3665"/>
    <cellStyle name="Output 23 7" xfId="3858"/>
    <cellStyle name="Output 23 8" xfId="4018"/>
    <cellStyle name="Output 24" xfId="1532"/>
    <cellStyle name="Output 24 2" xfId="2721"/>
    <cellStyle name="Output 24 3" xfId="3070"/>
    <cellStyle name="Output 24 4" xfId="1721"/>
    <cellStyle name="Output 24 5" xfId="3542"/>
    <cellStyle name="Output 24 6" xfId="3748"/>
    <cellStyle name="Output 24 7" xfId="3928"/>
    <cellStyle name="Output 24 8" xfId="4076"/>
    <cellStyle name="Output 25" xfId="1451"/>
    <cellStyle name="Output 25 2" xfId="2646"/>
    <cellStyle name="Output 25 3" xfId="2993"/>
    <cellStyle name="Output 25 4" xfId="3281"/>
    <cellStyle name="Output 25 5" xfId="1906"/>
    <cellStyle name="Output 25 6" xfId="3653"/>
    <cellStyle name="Output 25 7" xfId="3846"/>
    <cellStyle name="Output 25 8" xfId="4006"/>
    <cellStyle name="Output 26" xfId="1535"/>
    <cellStyle name="Output 26 2" xfId="2724"/>
    <cellStyle name="Output 26 3" xfId="3073"/>
    <cellStyle name="Output 26 4" xfId="1780"/>
    <cellStyle name="Output 26 5" xfId="3655"/>
    <cellStyle name="Output 26 6" xfId="3848"/>
    <cellStyle name="Output 26 7" xfId="4008"/>
    <cellStyle name="Output 26 8" xfId="4126"/>
    <cellStyle name="Output 27" xfId="1347"/>
    <cellStyle name="Output 27 2" xfId="2546"/>
    <cellStyle name="Output 27 3" xfId="2895"/>
    <cellStyle name="Output 27 4" xfId="2030"/>
    <cellStyle name="Output 27 5" xfId="1733"/>
    <cellStyle name="Output 27 6" xfId="1978"/>
    <cellStyle name="Output 27 7" xfId="1808"/>
    <cellStyle name="Output 27 8" xfId="2183"/>
    <cellStyle name="Output 28" xfId="1567"/>
    <cellStyle name="Output 28 2" xfId="2755"/>
    <cellStyle name="Output 28 3" xfId="3104"/>
    <cellStyle name="Output 28 4" xfId="3366"/>
    <cellStyle name="Output 28 5" xfId="3326"/>
    <cellStyle name="Output 28 6" xfId="2051"/>
    <cellStyle name="Output 28 7" xfId="2007"/>
    <cellStyle name="Output 28 8" xfId="1870"/>
    <cellStyle name="Output 29" xfId="1565"/>
    <cellStyle name="Output 29 2" xfId="2753"/>
    <cellStyle name="Output 29 3" xfId="3102"/>
    <cellStyle name="Output 29 4" xfId="3286"/>
    <cellStyle name="Output 29 5" xfId="3672"/>
    <cellStyle name="Output 29 6" xfId="3864"/>
    <cellStyle name="Output 29 7" xfId="4024"/>
    <cellStyle name="Output 29 8" xfId="4137"/>
    <cellStyle name="Output 3" xfId="137"/>
    <cellStyle name="Output 30" xfId="1409"/>
    <cellStyle name="Output 30 2" xfId="2604"/>
    <cellStyle name="Output 30 3" xfId="2953"/>
    <cellStyle name="Output 30 4" xfId="2141"/>
    <cellStyle name="Output 30 5" xfId="2014"/>
    <cellStyle name="Output 30 6" xfId="2026"/>
    <cellStyle name="Output 30 7" xfId="3582"/>
    <cellStyle name="Output 30 8" xfId="3783"/>
    <cellStyle name="Output 4" xfId="469"/>
    <cellStyle name="Output 5" xfId="581"/>
    <cellStyle name="Output 6" xfId="614"/>
    <cellStyle name="Output 7" xfId="482"/>
    <cellStyle name="Output 8" xfId="561"/>
    <cellStyle name="Output 9" xfId="476"/>
    <cellStyle name="Percent" xfId="43" builtinId="5"/>
    <cellStyle name="Percent 10 2" xfId="44"/>
    <cellStyle name="Percent 10 2 10" xfId="144"/>
    <cellStyle name="Percent 10 2 10 10" xfId="11957"/>
    <cellStyle name="Percent 10 2 10 2" xfId="10409"/>
    <cellStyle name="Percent 10 2 10 3" xfId="10722"/>
    <cellStyle name="Percent 10 2 10 4" xfId="11006"/>
    <cellStyle name="Percent 10 2 10 5" xfId="11347"/>
    <cellStyle name="Percent 10 2 10 6" xfId="13528"/>
    <cellStyle name="Percent 10 2 10 7" xfId="12182"/>
    <cellStyle name="Percent 10 2 10 8" xfId="11396"/>
    <cellStyle name="Percent 10 2 10 9" xfId="12475"/>
    <cellStyle name="Percent 10 2 100" xfId="376"/>
    <cellStyle name="Percent 10 2 100 10" xfId="22746"/>
    <cellStyle name="Percent 10 2 100 2" xfId="10587"/>
    <cellStyle name="Percent 10 2 100 3" xfId="10901"/>
    <cellStyle name="Percent 10 2 100 4" xfId="11185"/>
    <cellStyle name="Percent 10 2 100 5" xfId="11576"/>
    <cellStyle name="Percent 10 2 100 6" xfId="11339"/>
    <cellStyle name="Percent 10 2 100 7" xfId="12636"/>
    <cellStyle name="Percent 10 2 100 8" xfId="13934"/>
    <cellStyle name="Percent 10 2 100 9" xfId="17664"/>
    <cellStyle name="Percent 10 2 101" xfId="395"/>
    <cellStyle name="Percent 10 2 101 10" xfId="17856"/>
    <cellStyle name="Percent 10 2 101 2" xfId="10606"/>
    <cellStyle name="Percent 10 2 101 3" xfId="10920"/>
    <cellStyle name="Percent 10 2 101 4" xfId="11204"/>
    <cellStyle name="Percent 10 2 101 5" xfId="11595"/>
    <cellStyle name="Percent 10 2 101 6" xfId="13480"/>
    <cellStyle name="Percent 10 2 101 7" xfId="12021"/>
    <cellStyle name="Percent 10 2 101 8" xfId="13490"/>
    <cellStyle name="Percent 10 2 101 9" xfId="14152"/>
    <cellStyle name="Percent 10 2 102" xfId="386"/>
    <cellStyle name="Percent 10 2 102 10" xfId="32591"/>
    <cellStyle name="Percent 10 2 102 2" xfId="10597"/>
    <cellStyle name="Percent 10 2 102 3" xfId="10911"/>
    <cellStyle name="Percent 10 2 102 4" xfId="11195"/>
    <cellStyle name="Percent 10 2 102 5" xfId="11586"/>
    <cellStyle name="Percent 10 2 102 6" xfId="13734"/>
    <cellStyle name="Percent 10 2 102 7" xfId="17483"/>
    <cellStyle name="Percent 10 2 102 8" xfId="22594"/>
    <cellStyle name="Percent 10 2 102 9" xfId="27632"/>
    <cellStyle name="Percent 10 2 103" xfId="383"/>
    <cellStyle name="Percent 10 2 103 10" xfId="27718"/>
    <cellStyle name="Percent 10 2 103 2" xfId="10594"/>
    <cellStyle name="Percent 10 2 103 3" xfId="10908"/>
    <cellStyle name="Percent 10 2 103 4" xfId="11192"/>
    <cellStyle name="Percent 10 2 103 5" xfId="11583"/>
    <cellStyle name="Percent 10 2 103 6" xfId="13211"/>
    <cellStyle name="Percent 10 2 103 7" xfId="13881"/>
    <cellStyle name="Percent 10 2 103 8" xfId="17616"/>
    <cellStyle name="Percent 10 2 103 9" xfId="22705"/>
    <cellStyle name="Percent 10 2 104" xfId="389"/>
    <cellStyle name="Percent 10 2 104 10" xfId="13342"/>
    <cellStyle name="Percent 10 2 104 2" xfId="10600"/>
    <cellStyle name="Percent 10 2 104 3" xfId="10914"/>
    <cellStyle name="Percent 10 2 104 4" xfId="11198"/>
    <cellStyle name="Percent 10 2 104 5" xfId="11589"/>
    <cellStyle name="Percent 10 2 104 6" xfId="13675"/>
    <cellStyle name="Percent 10 2 104 7" xfId="12664"/>
    <cellStyle name="Percent 10 2 104 8" xfId="13686"/>
    <cellStyle name="Percent 10 2 104 9" xfId="13101"/>
    <cellStyle name="Percent 10 2 105" xfId="398"/>
    <cellStyle name="Percent 10 2 105 10" xfId="27856"/>
    <cellStyle name="Percent 10 2 105 2" xfId="10609"/>
    <cellStyle name="Percent 10 2 105 3" xfId="10923"/>
    <cellStyle name="Percent 10 2 105 4" xfId="11207"/>
    <cellStyle name="Percent 10 2 105 5" xfId="11598"/>
    <cellStyle name="Percent 10 2 105 6" xfId="13370"/>
    <cellStyle name="Percent 10 2 105 7" xfId="14122"/>
    <cellStyle name="Percent 10 2 105 8" xfId="17830"/>
    <cellStyle name="Percent 10 2 105 9" xfId="22886"/>
    <cellStyle name="Percent 10 2 106" xfId="420"/>
    <cellStyle name="Percent 10 2 106 10" xfId="32627"/>
    <cellStyle name="Percent 10 2 106 2" xfId="10631"/>
    <cellStyle name="Percent 10 2 106 3" xfId="10945"/>
    <cellStyle name="Percent 10 2 106 4" xfId="11229"/>
    <cellStyle name="Percent 10 2 106 5" xfId="11620"/>
    <cellStyle name="Percent 10 2 106 6" xfId="13837"/>
    <cellStyle name="Percent 10 2 106 7" xfId="17577"/>
    <cellStyle name="Percent 10 2 106 8" xfId="22672"/>
    <cellStyle name="Percent 10 2 106 9" xfId="27692"/>
    <cellStyle name="Percent 10 2 107" xfId="408"/>
    <cellStyle name="Percent 10 2 107 10" xfId="13917"/>
    <cellStyle name="Percent 10 2 107 2" xfId="10619"/>
    <cellStyle name="Percent 10 2 107 3" xfId="10933"/>
    <cellStyle name="Percent 10 2 107 4" xfId="11217"/>
    <cellStyle name="Percent 10 2 107 5" xfId="11608"/>
    <cellStyle name="Percent 10 2 107 6" xfId="12285"/>
    <cellStyle name="Percent 10 2 107 7" xfId="12697"/>
    <cellStyle name="Percent 10 2 107 8" xfId="11297"/>
    <cellStyle name="Percent 10 2 107 9" xfId="11785"/>
    <cellStyle name="Percent 10 2 108" xfId="424"/>
    <cellStyle name="Percent 10 2 108 10" xfId="12539"/>
    <cellStyle name="Percent 10 2 108 2" xfId="10635"/>
    <cellStyle name="Percent 10 2 108 3" xfId="10949"/>
    <cellStyle name="Percent 10 2 108 4" xfId="11233"/>
    <cellStyle name="Percent 10 2 108 5" xfId="11624"/>
    <cellStyle name="Percent 10 2 108 6" xfId="12388"/>
    <cellStyle name="Percent 10 2 108 7" xfId="13206"/>
    <cellStyle name="Percent 10 2 108 8" xfId="13224"/>
    <cellStyle name="Percent 10 2 108 9" xfId="12558"/>
    <cellStyle name="Percent 10 2 109" xfId="417"/>
    <cellStyle name="Percent 10 2 109 10" xfId="32746"/>
    <cellStyle name="Percent 10 2 109 2" xfId="10628"/>
    <cellStyle name="Percent 10 2 109 3" xfId="10942"/>
    <cellStyle name="Percent 10 2 109 4" xfId="11226"/>
    <cellStyle name="Percent 10 2 109 5" xfId="11617"/>
    <cellStyle name="Percent 10 2 109 6" xfId="14161"/>
    <cellStyle name="Percent 10 2 109 7" xfId="17865"/>
    <cellStyle name="Percent 10 2 109 8" xfId="22913"/>
    <cellStyle name="Percent 10 2 109 9" xfId="27879"/>
    <cellStyle name="Percent 10 2 11" xfId="121"/>
    <cellStyle name="Percent 10 2 11 10" xfId="11787"/>
    <cellStyle name="Percent 10 2 11 2" xfId="10411"/>
    <cellStyle name="Percent 10 2 11 3" xfId="10724"/>
    <cellStyle name="Percent 10 2 11 4" xfId="11008"/>
    <cellStyle name="Percent 10 2 11 5" xfId="11325"/>
    <cellStyle name="Percent 10 2 11 6" xfId="12694"/>
    <cellStyle name="Percent 10 2 11 7" xfId="13442"/>
    <cellStyle name="Percent 10 2 11 8" xfId="12354"/>
    <cellStyle name="Percent 10 2 11 9" xfId="12122"/>
    <cellStyle name="Percent 10 2 110" xfId="411"/>
    <cellStyle name="Percent 10 2 110 10" xfId="12508"/>
    <cellStyle name="Percent 10 2 110 2" xfId="10622"/>
    <cellStyle name="Percent 10 2 110 3" xfId="10936"/>
    <cellStyle name="Percent 10 2 110 4" xfId="11220"/>
    <cellStyle name="Percent 10 2 110 5" xfId="11611"/>
    <cellStyle name="Percent 10 2 110 6" xfId="12961"/>
    <cellStyle name="Percent 10 2 110 7" xfId="13163"/>
    <cellStyle name="Percent 10 2 110 8" xfId="12940"/>
    <cellStyle name="Percent 10 2 110 9" xfId="12771"/>
    <cellStyle name="Percent 10 2 111" xfId="425"/>
    <cellStyle name="Percent 10 2 111 10" xfId="27777"/>
    <cellStyle name="Percent 10 2 111 2" xfId="10636"/>
    <cellStyle name="Percent 10 2 111 3" xfId="10950"/>
    <cellStyle name="Percent 10 2 111 4" xfId="11234"/>
    <cellStyle name="Percent 10 2 111 5" xfId="11625"/>
    <cellStyle name="Percent 10 2 111 6" xfId="12582"/>
    <cellStyle name="Percent 10 2 111 7" xfId="13977"/>
    <cellStyle name="Percent 10 2 111 8" xfId="17701"/>
    <cellStyle name="Percent 10 2 111 9" xfId="22777"/>
    <cellStyle name="Percent 10 2 112" xfId="390"/>
    <cellStyle name="Percent 10 2 112 10" xfId="13150"/>
    <cellStyle name="Percent 10 2 112 2" xfId="10601"/>
    <cellStyle name="Percent 10 2 112 3" xfId="10915"/>
    <cellStyle name="Percent 10 2 112 4" xfId="11199"/>
    <cellStyle name="Percent 10 2 112 5" xfId="11590"/>
    <cellStyle name="Percent 10 2 112 6" xfId="13344"/>
    <cellStyle name="Percent 10 2 112 7" xfId="13113"/>
    <cellStyle name="Percent 10 2 112 8" xfId="12401"/>
    <cellStyle name="Percent 10 2 112 9" xfId="13152"/>
    <cellStyle name="Percent 10 2 113" xfId="422"/>
    <cellStyle name="Percent 10 2 113 10" xfId="22825"/>
    <cellStyle name="Percent 10 2 113 2" xfId="10633"/>
    <cellStyle name="Percent 10 2 113 3" xfId="10947"/>
    <cellStyle name="Percent 10 2 113 4" xfId="11231"/>
    <cellStyle name="Percent 10 2 113 5" xfId="11622"/>
    <cellStyle name="Percent 10 2 113 6" xfId="13451"/>
    <cellStyle name="Percent 10 2 113 7" xfId="13318"/>
    <cellStyle name="Percent 10 2 113 8" xfId="14040"/>
    <cellStyle name="Percent 10 2 113 9" xfId="17757"/>
    <cellStyle name="Percent 10 2 114" xfId="409"/>
    <cellStyle name="Percent 10 2 114 10" xfId="32689"/>
    <cellStyle name="Percent 10 2 114 2" xfId="10620"/>
    <cellStyle name="Percent 10 2 114 3" xfId="10934"/>
    <cellStyle name="Percent 10 2 114 4" xfId="11218"/>
    <cellStyle name="Percent 10 2 114 5" xfId="11609"/>
    <cellStyle name="Percent 10 2 114 6" xfId="14013"/>
    <cellStyle name="Percent 10 2 114 7" xfId="17732"/>
    <cellStyle name="Percent 10 2 114 8" xfId="22804"/>
    <cellStyle name="Percent 10 2 114 9" xfId="27797"/>
    <cellStyle name="Percent 10 2 115" xfId="423"/>
    <cellStyle name="Percent 10 2 115 10" xfId="27891"/>
    <cellStyle name="Percent 10 2 115 2" xfId="10634"/>
    <cellStyle name="Percent 10 2 115 3" xfId="10948"/>
    <cellStyle name="Percent 10 2 115 4" xfId="11232"/>
    <cellStyle name="Percent 10 2 115 5" xfId="11623"/>
    <cellStyle name="Percent 10 2 115 6" xfId="13208"/>
    <cellStyle name="Percent 10 2 115 7" xfId="14183"/>
    <cellStyle name="Percent 10 2 115 8" xfId="17884"/>
    <cellStyle name="Percent 10 2 115 9" xfId="22928"/>
    <cellStyle name="Percent 10 2 116" xfId="419"/>
    <cellStyle name="Percent 10 2 116 10" xfId="32674"/>
    <cellStyle name="Percent 10 2 116 2" xfId="10630"/>
    <cellStyle name="Percent 10 2 116 3" xfId="10944"/>
    <cellStyle name="Percent 10 2 116 4" xfId="11228"/>
    <cellStyle name="Percent 10 2 116 5" xfId="11619"/>
    <cellStyle name="Percent 10 2 116 6" xfId="13973"/>
    <cellStyle name="Percent 10 2 116 7" xfId="17698"/>
    <cellStyle name="Percent 10 2 116 8" xfId="22774"/>
    <cellStyle name="Percent 10 2 116 9" xfId="27775"/>
    <cellStyle name="Percent 10 2 117" xfId="410"/>
    <cellStyle name="Percent 10 2 117 10" xfId="32642"/>
    <cellStyle name="Percent 10 2 117 2" xfId="10621"/>
    <cellStyle name="Percent 10 2 117 3" xfId="10935"/>
    <cellStyle name="Percent 10 2 117 4" xfId="11219"/>
    <cellStyle name="Percent 10 2 117 5" xfId="11610"/>
    <cellStyle name="Percent 10 2 117 6" xfId="13880"/>
    <cellStyle name="Percent 10 2 117 7" xfId="17615"/>
    <cellStyle name="Percent 10 2 117 8" xfId="22704"/>
    <cellStyle name="Percent 10 2 117 9" xfId="27717"/>
    <cellStyle name="Percent 10 2 118" xfId="391"/>
    <cellStyle name="Percent 10 2 118 10" xfId="27818"/>
    <cellStyle name="Percent 10 2 118 2" xfId="10602"/>
    <cellStyle name="Percent 10 2 118 3" xfId="10916"/>
    <cellStyle name="Percent 10 2 118 4" xfId="11200"/>
    <cellStyle name="Percent 10 2 118 5" xfId="11591"/>
    <cellStyle name="Percent 10 2 118 6" xfId="13097"/>
    <cellStyle name="Percent 10 2 118 7" xfId="14050"/>
    <cellStyle name="Percent 10 2 118 8" xfId="17767"/>
    <cellStyle name="Percent 10 2 118 9" xfId="22834"/>
    <cellStyle name="Percent 10 2 119" xfId="470"/>
    <cellStyle name="Percent 10 2 119 10" xfId="22866"/>
    <cellStyle name="Percent 10 2 119 2" xfId="10388"/>
    <cellStyle name="Percent 10 2 119 3" xfId="10701"/>
    <cellStyle name="Percent 10 2 119 4" xfId="10985"/>
    <cellStyle name="Percent 10 2 119 5" xfId="11653"/>
    <cellStyle name="Percent 10 2 119 6" xfId="12450"/>
    <cellStyle name="Percent 10 2 119 7" xfId="12451"/>
    <cellStyle name="Percent 10 2 119 8" xfId="14090"/>
    <cellStyle name="Percent 10 2 119 9" xfId="17803"/>
    <cellStyle name="Percent 10 2 12" xfId="143"/>
    <cellStyle name="Percent 10 2 12 10" xfId="12678"/>
    <cellStyle name="Percent 10 2 12 2" xfId="10413"/>
    <cellStyle name="Percent 10 2 12 3" xfId="10726"/>
    <cellStyle name="Percent 10 2 12 4" xfId="11010"/>
    <cellStyle name="Percent 10 2 12 5" xfId="11346"/>
    <cellStyle name="Percent 10 2 12 6" xfId="12490"/>
    <cellStyle name="Percent 10 2 12 7" xfId="12831"/>
    <cellStyle name="Percent 10 2 12 8" xfId="11387"/>
    <cellStyle name="Percent 10 2 12 9" xfId="12494"/>
    <cellStyle name="Percent 10 2 120" xfId="579"/>
    <cellStyle name="Percent 10 2 120 10" xfId="11940"/>
    <cellStyle name="Percent 10 2 120 2" xfId="10644"/>
    <cellStyle name="Percent 10 2 120 3" xfId="10958"/>
    <cellStyle name="Percent 10 2 120 4" xfId="11242"/>
    <cellStyle name="Percent 10 2 120 5" xfId="11730"/>
    <cellStyle name="Percent 10 2 120 6" xfId="13140"/>
    <cellStyle name="Percent 10 2 120 7" xfId="13271"/>
    <cellStyle name="Percent 10 2 120 8" xfId="12362"/>
    <cellStyle name="Percent 10 2 120 9" xfId="11755"/>
    <cellStyle name="Percent 10 2 121" xfId="591"/>
    <cellStyle name="Percent 10 2 121 10" xfId="32594"/>
    <cellStyle name="Percent 10 2 121 2" xfId="10646"/>
    <cellStyle name="Percent 10 2 121 3" xfId="10960"/>
    <cellStyle name="Percent 10 2 121 4" xfId="11244"/>
    <cellStyle name="Percent 10 2 121 5" xfId="11740"/>
    <cellStyle name="Percent 10 2 121 6" xfId="13740"/>
    <cellStyle name="Percent 10 2 121 7" xfId="17488"/>
    <cellStyle name="Percent 10 2 121 8" xfId="22598"/>
    <cellStyle name="Percent 10 2 121 9" xfId="27636"/>
    <cellStyle name="Percent 10 2 122" xfId="569"/>
    <cellStyle name="Percent 10 2 122 10" xfId="11671"/>
    <cellStyle name="Percent 10 2 122 2" xfId="10647"/>
    <cellStyle name="Percent 10 2 122 3" xfId="10961"/>
    <cellStyle name="Percent 10 2 122 4" xfId="11245"/>
    <cellStyle name="Percent 10 2 122 5" xfId="11725"/>
    <cellStyle name="Percent 10 2 122 6" xfId="12706"/>
    <cellStyle name="Percent 10 2 122 7" xfId="11813"/>
    <cellStyle name="Percent 10 2 122 8" xfId="12393"/>
    <cellStyle name="Percent 10 2 122 9" xfId="13368"/>
    <cellStyle name="Percent 10 2 123" xfId="656"/>
    <cellStyle name="Percent 10 2 123 10" xfId="32606"/>
    <cellStyle name="Percent 10 2 123 2" xfId="10389"/>
    <cellStyle name="Percent 10 2 123 3" xfId="10702"/>
    <cellStyle name="Percent 10 2 123 4" xfId="10986"/>
    <cellStyle name="Percent 10 2 123 5" xfId="11786"/>
    <cellStyle name="Percent 10 2 123 6" xfId="13777"/>
    <cellStyle name="Percent 10 2 123 7" xfId="17520"/>
    <cellStyle name="Percent 10 2 123 8" xfId="22624"/>
    <cellStyle name="Percent 10 2 123 9" xfId="27653"/>
    <cellStyle name="Percent 10 2 124" xfId="457"/>
    <cellStyle name="Percent 10 2 124 10" xfId="22824"/>
    <cellStyle name="Percent 10 2 124 2" xfId="10645"/>
    <cellStyle name="Percent 10 2 124 3" xfId="10959"/>
    <cellStyle name="Percent 10 2 124 4" xfId="11243"/>
    <cellStyle name="Percent 10 2 124 5" xfId="11643"/>
    <cellStyle name="Percent 10 2 124 6" xfId="13704"/>
    <cellStyle name="Percent 10 2 124 7" xfId="12018"/>
    <cellStyle name="Percent 10 2 124 8" xfId="14039"/>
    <cellStyle name="Percent 10 2 124 9" xfId="17756"/>
    <cellStyle name="Percent 10 2 125" xfId="542"/>
    <cellStyle name="Percent 10 2 125 10" xfId="32671"/>
    <cellStyle name="Percent 10 2 125 2" xfId="10642"/>
    <cellStyle name="Percent 10 2 125 3" xfId="10956"/>
    <cellStyle name="Percent 10 2 125 4" xfId="11240"/>
    <cellStyle name="Percent 10 2 125 5" xfId="11704"/>
    <cellStyle name="Percent 10 2 125 6" xfId="13966"/>
    <cellStyle name="Percent 10 2 125 7" xfId="17691"/>
    <cellStyle name="Percent 10 2 125 8" xfId="22768"/>
    <cellStyle name="Percent 10 2 125 9" xfId="27770"/>
    <cellStyle name="Percent 10 2 126" xfId="693"/>
    <cellStyle name="Percent 10 2 126 10" xfId="14019"/>
    <cellStyle name="Percent 10 2 126 2" xfId="10648"/>
    <cellStyle name="Percent 10 2 126 3" xfId="10962"/>
    <cellStyle name="Percent 10 2 126 4" xfId="11246"/>
    <cellStyle name="Percent 10 2 126 5" xfId="11814"/>
    <cellStyle name="Percent 10 2 126 6" xfId="12203"/>
    <cellStyle name="Percent 10 2 126 7" xfId="13324"/>
    <cellStyle name="Percent 10 2 126 8" xfId="12260"/>
    <cellStyle name="Percent 10 2 126 9" xfId="12963"/>
    <cellStyle name="Percent 10 2 127" xfId="733"/>
    <cellStyle name="Percent 10 2 127 10" xfId="32677"/>
    <cellStyle name="Percent 10 2 127 2" xfId="10650"/>
    <cellStyle name="Percent 10 2 127 3" xfId="10964"/>
    <cellStyle name="Percent 10 2 127 4" xfId="11248"/>
    <cellStyle name="Percent 10 2 127 5" xfId="11841"/>
    <cellStyle name="Percent 10 2 127 6" xfId="13979"/>
    <cellStyle name="Percent 10 2 127 7" xfId="17703"/>
    <cellStyle name="Percent 10 2 127 8" xfId="22779"/>
    <cellStyle name="Percent 10 2 127 9" xfId="27779"/>
    <cellStyle name="Percent 10 2 128" xfId="772"/>
    <cellStyle name="Percent 10 2 128 10" xfId="12073"/>
    <cellStyle name="Percent 10 2 128 2" xfId="10653"/>
    <cellStyle name="Percent 10 2 128 3" xfId="10967"/>
    <cellStyle name="Percent 10 2 128 4" xfId="11251"/>
    <cellStyle name="Percent 10 2 128 5" xfId="11866"/>
    <cellStyle name="Percent 10 2 128 6" xfId="12772"/>
    <cellStyle name="Percent 10 2 128 7" xfId="12631"/>
    <cellStyle name="Percent 10 2 128 8" xfId="12291"/>
    <cellStyle name="Percent 10 2 128 9" xfId="12353"/>
    <cellStyle name="Percent 10 2 129" xfId="808"/>
    <cellStyle name="Percent 10 2 129 10" xfId="13750"/>
    <cellStyle name="Percent 10 2 129 2" xfId="10654"/>
    <cellStyle name="Percent 10 2 129 3" xfId="10968"/>
    <cellStyle name="Percent 10 2 129 4" xfId="11252"/>
    <cellStyle name="Percent 10 2 129 5" xfId="11888"/>
    <cellStyle name="Percent 10 2 129 6" xfId="11334"/>
    <cellStyle name="Percent 10 2 129 7" xfId="12863"/>
    <cellStyle name="Percent 10 2 129 8" xfId="12568"/>
    <cellStyle name="Percent 10 2 129 9" xfId="12719"/>
    <cellStyle name="Percent 10 2 13" xfId="122"/>
    <cellStyle name="Percent 10 2 13 10" xfId="13482"/>
    <cellStyle name="Percent 10 2 13 2" xfId="10415"/>
    <cellStyle name="Percent 10 2 13 3" xfId="10728"/>
    <cellStyle name="Percent 10 2 13 4" xfId="11012"/>
    <cellStyle name="Percent 10 2 13 5" xfId="11326"/>
    <cellStyle name="Percent 10 2 13 6" xfId="13664"/>
    <cellStyle name="Percent 10 2 13 7" xfId="12534"/>
    <cellStyle name="Percent 10 2 13 8" xfId="12072"/>
    <cellStyle name="Percent 10 2 13 9" xfId="12808"/>
    <cellStyle name="Percent 10 2 130" xfId="842"/>
    <cellStyle name="Percent 10 2 130 10" xfId="13429"/>
    <cellStyle name="Percent 10 2 130 2" xfId="10655"/>
    <cellStyle name="Percent 10 2 130 3" xfId="10969"/>
    <cellStyle name="Percent 10 2 130 4" xfId="11253"/>
    <cellStyle name="Percent 10 2 130 5" xfId="11910"/>
    <cellStyle name="Percent 10 2 130 6" xfId="12894"/>
    <cellStyle name="Percent 10 2 130 7" xfId="13617"/>
    <cellStyle name="Percent 10 2 130 8" xfId="12709"/>
    <cellStyle name="Percent 10 2 130 9" xfId="11688"/>
    <cellStyle name="Percent 10 2 131" xfId="945"/>
    <cellStyle name="Percent 10 2 131 10" xfId="27676"/>
    <cellStyle name="Percent 10 2 131 2" xfId="10658"/>
    <cellStyle name="Percent 10 2 131 3" xfId="10972"/>
    <cellStyle name="Percent 10 2 131 4" xfId="11256"/>
    <cellStyle name="Percent 10 2 131 5" xfId="11984"/>
    <cellStyle name="Percent 10 2 131 6" xfId="13565"/>
    <cellStyle name="Percent 10 2 131 7" xfId="13814"/>
    <cellStyle name="Percent 10 2 131 8" xfId="17555"/>
    <cellStyle name="Percent 10 2 131 9" xfId="22652"/>
    <cellStyle name="Percent 10 2 132" xfId="965"/>
    <cellStyle name="Percent 10 2 132 10" xfId="27842"/>
    <cellStyle name="Percent 10 2 132 2" xfId="10659"/>
    <cellStyle name="Percent 10 2 132 3" xfId="10973"/>
    <cellStyle name="Percent 10 2 132 4" xfId="11257"/>
    <cellStyle name="Percent 10 2 132 5" xfId="12001"/>
    <cellStyle name="Percent 10 2 132 6" xfId="10686"/>
    <cellStyle name="Percent 10 2 132 7" xfId="14089"/>
    <cellStyle name="Percent 10 2 132 8" xfId="17802"/>
    <cellStyle name="Percent 10 2 132 9" xfId="22865"/>
    <cellStyle name="Percent 10 2 133" xfId="909"/>
    <cellStyle name="Percent 10 2 133 10" xfId="27731"/>
    <cellStyle name="Percent 10 2 133 2" xfId="10656"/>
    <cellStyle name="Percent 10 2 133 3" xfId="10970"/>
    <cellStyle name="Percent 10 2 133 4" xfId="11254"/>
    <cellStyle name="Percent 10 2 133 5" xfId="11959"/>
    <cellStyle name="Percent 10 2 133 6" xfId="13262"/>
    <cellStyle name="Percent 10 2 133 7" xfId="13903"/>
    <cellStyle name="Percent 10 2 133 8" xfId="17636"/>
    <cellStyle name="Percent 10 2 133 9" xfId="22722"/>
    <cellStyle name="Percent 10 2 134" xfId="963"/>
    <cellStyle name="Percent 10 2 134 2" xfId="11999"/>
    <cellStyle name="Percent 10 2 134 3" xfId="11895"/>
    <cellStyle name="Percent 10 2 134 4" xfId="13576"/>
    <cellStyle name="Percent 10 2 134 5" xfId="13438"/>
    <cellStyle name="Percent 10 2 134 6" xfId="14045"/>
    <cellStyle name="Percent 10 2 134 7" xfId="17762"/>
    <cellStyle name="Percent 10 2 135" xfId="958"/>
    <cellStyle name="Percent 10 2 135 2" xfId="11994"/>
    <cellStyle name="Percent 10 2 135 3" xfId="12037"/>
    <cellStyle name="Percent 10 2 135 4" xfId="13072"/>
    <cellStyle name="Percent 10 2 135 5" xfId="12656"/>
    <cellStyle name="Percent 10 2 135 6" xfId="13718"/>
    <cellStyle name="Percent 10 2 135 7" xfId="17469"/>
    <cellStyle name="Percent 10 2 136" xfId="883"/>
    <cellStyle name="Percent 10 2 136 2" xfId="11939"/>
    <cellStyle name="Percent 10 2 136 3" xfId="11711"/>
    <cellStyle name="Percent 10 2 136 4" xfId="13488"/>
    <cellStyle name="Percent 10 2 136 5" xfId="11779"/>
    <cellStyle name="Percent 10 2 136 6" xfId="13279"/>
    <cellStyle name="Percent 10 2 136 7" xfId="12752"/>
    <cellStyle name="Percent 10 2 137" xfId="968"/>
    <cellStyle name="Percent 10 2 137 2" xfId="12004"/>
    <cellStyle name="Percent 10 2 137 3" xfId="11659"/>
    <cellStyle name="Percent 10 2 137 4" xfId="12365"/>
    <cellStyle name="Percent 10 2 137 5" xfId="12817"/>
    <cellStyle name="Percent 10 2 137 6" xfId="11911"/>
    <cellStyle name="Percent 10 2 137 7" xfId="13546"/>
    <cellStyle name="Percent 10 2 138" xfId="970"/>
    <cellStyle name="Percent 10 2 138 2" xfId="12006"/>
    <cellStyle name="Percent 10 2 138 3" xfId="11745"/>
    <cellStyle name="Percent 10 2 138 4" xfId="13941"/>
    <cellStyle name="Percent 10 2 138 5" xfId="17669"/>
    <cellStyle name="Percent 10 2 138 6" xfId="22750"/>
    <cellStyle name="Percent 10 2 138 7" xfId="27754"/>
    <cellStyle name="Percent 10 2 139" xfId="972"/>
    <cellStyle name="Percent 10 2 139 2" xfId="12008"/>
    <cellStyle name="Percent 10 2 139 3" xfId="14154"/>
    <cellStyle name="Percent 10 2 139 4" xfId="17858"/>
    <cellStyle name="Percent 10 2 139 5" xfId="22908"/>
    <cellStyle name="Percent 10 2 139 6" xfId="27876"/>
    <cellStyle name="Percent 10 2 139 7" xfId="32743"/>
    <cellStyle name="Percent 10 2 14" xfId="142"/>
    <cellStyle name="Percent 10 2 14 10" xfId="32618"/>
    <cellStyle name="Percent 10 2 14 2" xfId="10417"/>
    <cellStyle name="Percent 10 2 14 3" xfId="10730"/>
    <cellStyle name="Percent 10 2 14 4" xfId="11014"/>
    <cellStyle name="Percent 10 2 14 5" xfId="11345"/>
    <cellStyle name="Percent 10 2 14 6" xfId="13811"/>
    <cellStyle name="Percent 10 2 14 7" xfId="17552"/>
    <cellStyle name="Percent 10 2 14 8" xfId="22649"/>
    <cellStyle name="Percent 10 2 14 9" xfId="27673"/>
    <cellStyle name="Percent 10 2 140" xfId="974"/>
    <cellStyle name="Percent 10 2 140 2" xfId="12010"/>
    <cellStyle name="Percent 10 2 140 3" xfId="13957"/>
    <cellStyle name="Percent 10 2 140 4" xfId="17684"/>
    <cellStyle name="Percent 10 2 140 5" xfId="22763"/>
    <cellStyle name="Percent 10 2 140 6" xfId="27766"/>
    <cellStyle name="Percent 10 2 140 7" xfId="32668"/>
    <cellStyle name="Percent 10 2 141" xfId="976"/>
    <cellStyle name="Percent 10 2 141 2" xfId="12012"/>
    <cellStyle name="Percent 10 2 141 3" xfId="12580"/>
    <cellStyle name="Percent 10 2 141 4" xfId="14163"/>
    <cellStyle name="Percent 10 2 141 5" xfId="17867"/>
    <cellStyle name="Percent 10 2 141 6" xfId="22915"/>
    <cellStyle name="Percent 10 2 141 7" xfId="27881"/>
    <cellStyle name="Percent 10 2 142" xfId="979"/>
    <cellStyle name="Percent 10 2 142 2" xfId="12015"/>
    <cellStyle name="Percent 10 2 142 3" xfId="12461"/>
    <cellStyle name="Percent 10 2 142 4" xfId="13094"/>
    <cellStyle name="Percent 10 2 142 5" xfId="13387"/>
    <cellStyle name="Percent 10 2 142 6" xfId="12414"/>
    <cellStyle name="Percent 10 2 142 7" xfId="12146"/>
    <cellStyle name="Percent 10 2 143" xfId="980"/>
    <cellStyle name="Percent 10 2 143 2" xfId="12016"/>
    <cellStyle name="Percent 10 2 143 3" xfId="11332"/>
    <cellStyle name="Percent 10 2 143 4" xfId="12960"/>
    <cellStyle name="Percent 10 2 143 5" xfId="13404"/>
    <cellStyle name="Percent 10 2 143 6" xfId="13197"/>
    <cellStyle name="Percent 10 2 143 7" xfId="13630"/>
    <cellStyle name="Percent 10 2 144" xfId="1021"/>
    <cellStyle name="Percent 10 2 144 2" xfId="12044"/>
    <cellStyle name="Percent 10 2 144 3" xfId="12735"/>
    <cellStyle name="Percent 10 2 144 4" xfId="12917"/>
    <cellStyle name="Percent 10 2 144 5" xfId="12187"/>
    <cellStyle name="Percent 10 2 144 6" xfId="13659"/>
    <cellStyle name="Percent 10 2 144 7" xfId="13247"/>
    <cellStyle name="Percent 10 2 145" xfId="1112"/>
    <cellStyle name="Percent 10 2 145 2" xfId="12100"/>
    <cellStyle name="Percent 10 2 145 3" xfId="13418"/>
    <cellStyle name="Percent 10 2 145 4" xfId="11289"/>
    <cellStyle name="Percent 10 2 145 5" xfId="12086"/>
    <cellStyle name="Percent 10 2 145 6" xfId="12846"/>
    <cellStyle name="Percent 10 2 145 7" xfId="12892"/>
    <cellStyle name="Percent 10 2 146" xfId="1121"/>
    <cellStyle name="Percent 10 2 146 2" xfId="12108"/>
    <cellStyle name="Percent 10 2 146 3" xfId="13229"/>
    <cellStyle name="Percent 10 2 146 4" xfId="13216"/>
    <cellStyle name="Percent 10 2 146 5" xfId="12488"/>
    <cellStyle name="Percent 10 2 146 6" xfId="13794"/>
    <cellStyle name="Percent 10 2 146 7" xfId="17535"/>
    <cellStyle name="Percent 10 2 147" xfId="1102"/>
    <cellStyle name="Percent 10 2 147 2" xfId="12094"/>
    <cellStyle name="Percent 10 2 147 3" xfId="12862"/>
    <cellStyle name="Percent 10 2 147 4" xfId="12599"/>
    <cellStyle name="Percent 10 2 147 5" xfId="11692"/>
    <cellStyle name="Percent 10 2 147 6" xfId="12082"/>
    <cellStyle name="Percent 10 2 147 7" xfId="13989"/>
    <cellStyle name="Percent 10 2 148" xfId="1179"/>
    <cellStyle name="Percent 10 2 148 2" xfId="12148"/>
    <cellStyle name="Percent 10 2 148 3" xfId="14143"/>
    <cellStyle name="Percent 10 2 148 4" xfId="17848"/>
    <cellStyle name="Percent 10 2 148 5" xfId="22902"/>
    <cellStyle name="Percent 10 2 148 6" xfId="27870"/>
    <cellStyle name="Percent 10 2 148 7" xfId="32739"/>
    <cellStyle name="Percent 10 2 149" xfId="1043"/>
    <cellStyle name="Percent 10 2 149 2" xfId="12061"/>
    <cellStyle name="Percent 10 2 149 3" xfId="12115"/>
    <cellStyle name="Percent 10 2 149 4" xfId="12116"/>
    <cellStyle name="Percent 10 2 149 5" xfId="11982"/>
    <cellStyle name="Percent 10 2 149 6" xfId="12791"/>
    <cellStyle name="Percent 10 2 149 7" xfId="12782"/>
    <cellStyle name="Percent 10 2 15" xfId="123"/>
    <cellStyle name="Percent 10 2 15 10" xfId="22627"/>
    <cellStyle name="Percent 10 2 15 2" xfId="10419"/>
    <cellStyle name="Percent 10 2 15 3" xfId="10732"/>
    <cellStyle name="Percent 10 2 15 4" xfId="11016"/>
    <cellStyle name="Percent 10 2 15 5" xfId="11327"/>
    <cellStyle name="Percent 10 2 15 6" xfId="13458"/>
    <cellStyle name="Percent 10 2 15 7" xfId="13320"/>
    <cellStyle name="Percent 10 2 15 8" xfId="13783"/>
    <cellStyle name="Percent 10 2 15 9" xfId="17525"/>
    <cellStyle name="Percent 10 2 150" xfId="1123"/>
    <cellStyle name="Percent 10 2 150 2" xfId="12110"/>
    <cellStyle name="Percent 10 2 150 3" xfId="12207"/>
    <cellStyle name="Percent 10 2 150 4" xfId="12409"/>
    <cellStyle name="Percent 10 2 150 5" xfId="13172"/>
    <cellStyle name="Percent 10 2 150 6" xfId="13459"/>
    <cellStyle name="Percent 10 2 150 7" xfId="13081"/>
    <cellStyle name="Percent 10 2 151" xfId="1049"/>
    <cellStyle name="Percent 10 2 151 2" xfId="12065"/>
    <cellStyle name="Percent 10 2 151 3" xfId="11850"/>
    <cellStyle name="Percent 10 2 151 4" xfId="13944"/>
    <cellStyle name="Percent 10 2 151 5" xfId="17672"/>
    <cellStyle name="Percent 10 2 151 6" xfId="22753"/>
    <cellStyle name="Percent 10 2 151 7" xfId="27757"/>
    <cellStyle name="Percent 10 2 152" xfId="1144"/>
    <cellStyle name="Percent 10 2 152 2" xfId="12126"/>
    <cellStyle name="Percent 10 2 152 3" xfId="11749"/>
    <cellStyle name="Percent 10 2 152 4" xfId="12167"/>
    <cellStyle name="Percent 10 2 152 5" xfId="12093"/>
    <cellStyle name="Percent 10 2 152 6" xfId="13799"/>
    <cellStyle name="Percent 10 2 152 7" xfId="17540"/>
    <cellStyle name="Percent 10 2 153" xfId="1264"/>
    <cellStyle name="Percent 10 2 153 2" xfId="12199"/>
    <cellStyle name="Percent 10 2 153 3" xfId="12304"/>
    <cellStyle name="Percent 10 2 153 4" xfId="11753"/>
    <cellStyle name="Percent 10 2 153 5" xfId="12107"/>
    <cellStyle name="Percent 10 2 153 6" xfId="12554"/>
    <cellStyle name="Percent 10 2 153 7" xfId="13516"/>
    <cellStyle name="Percent 10 2 154" xfId="1254"/>
    <cellStyle name="Percent 10 2 154 2" xfId="12191"/>
    <cellStyle name="Percent 10 2 154 3" xfId="13347"/>
    <cellStyle name="Percent 10 2 154 4" xfId="12753"/>
    <cellStyle name="Percent 10 2 154 5" xfId="12884"/>
    <cellStyle name="Percent 10 2 154 6" xfId="12510"/>
    <cellStyle name="Percent 10 2 154 7" xfId="12546"/>
    <cellStyle name="Percent 10 2 155" xfId="1222"/>
    <cellStyle name="Percent 10 2 155 2" xfId="12171"/>
    <cellStyle name="Percent 10 2 155 3" xfId="11869"/>
    <cellStyle name="Percent 10 2 155 4" xfId="13225"/>
    <cellStyle name="Percent 10 2 155 5" xfId="13362"/>
    <cellStyle name="Percent 10 2 155 6" xfId="11679"/>
    <cellStyle name="Percent 10 2 155 7" xfId="12731"/>
    <cellStyle name="Percent 10 2 156" xfId="1290"/>
    <cellStyle name="Percent 10 2 156 2" xfId="12216"/>
    <cellStyle name="Percent 10 2 156 3" xfId="13571"/>
    <cellStyle name="Percent 10 2 156 4" xfId="12278"/>
    <cellStyle name="Percent 10 2 156 5" xfId="12592"/>
    <cellStyle name="Percent 10 2 156 6" xfId="11955"/>
    <cellStyle name="Percent 10 2 156 7" xfId="13281"/>
    <cellStyle name="Percent 10 2 157" xfId="1294"/>
    <cellStyle name="Percent 10 2 157 2" xfId="12220"/>
    <cellStyle name="Percent 10 2 157 3" xfId="13402"/>
    <cellStyle name="Percent 10 2 157 4" xfId="13604"/>
    <cellStyle name="Percent 10 2 157 5" xfId="12480"/>
    <cellStyle name="Percent 10 2 157 6" xfId="11757"/>
    <cellStyle name="Percent 10 2 157 7" xfId="11894"/>
    <cellStyle name="Percent 10 2 158" xfId="1315"/>
    <cellStyle name="Percent 10 2 158 2" xfId="12240"/>
    <cellStyle name="Percent 10 2 158 3" xfId="11699"/>
    <cellStyle name="Percent 10 2 158 4" xfId="11689"/>
    <cellStyle name="Percent 10 2 158 5" xfId="12366"/>
    <cellStyle name="Percent 10 2 158 6" xfId="13315"/>
    <cellStyle name="Percent 10 2 158 7" xfId="12567"/>
    <cellStyle name="Percent 10 2 159" xfId="1497"/>
    <cellStyle name="Percent 10 2 159 2" xfId="12368"/>
    <cellStyle name="Percent 10 2 159 3" xfId="12253"/>
    <cellStyle name="Percent 10 2 159 4" xfId="12591"/>
    <cellStyle name="Percent 10 2 159 5" xfId="11991"/>
    <cellStyle name="Percent 10 2 159 6" xfId="12168"/>
    <cellStyle name="Percent 10 2 159 7" xfId="12119"/>
    <cellStyle name="Percent 10 2 16" xfId="141"/>
    <cellStyle name="Percent 10 2 16 10" xfId="22617"/>
    <cellStyle name="Percent 10 2 16 2" xfId="10421"/>
    <cellStyle name="Percent 10 2 16 3" xfId="10734"/>
    <cellStyle name="Percent 10 2 16 4" xfId="11018"/>
    <cellStyle name="Percent 10 2 16 5" xfId="11344"/>
    <cellStyle name="Percent 10 2 16 6" xfId="12375"/>
    <cellStyle name="Percent 10 2 16 7" xfId="12252"/>
    <cellStyle name="Percent 10 2 16 8" xfId="13768"/>
    <cellStyle name="Percent 10 2 16 9" xfId="17512"/>
    <cellStyle name="Percent 10 2 160" xfId="1552"/>
    <cellStyle name="Percent 10 2 160 2" xfId="12408"/>
    <cellStyle name="Percent 10 2 160 3" xfId="13413"/>
    <cellStyle name="Percent 10 2 160 4" xfId="12718"/>
    <cellStyle name="Percent 10 2 160 5" xfId="12602"/>
    <cellStyle name="Percent 10 2 160 6" xfId="13887"/>
    <cellStyle name="Percent 10 2 160 7" xfId="17621"/>
    <cellStyle name="Percent 10 2 161" xfId="1525"/>
    <cellStyle name="Percent 10 2 161 2" xfId="12385"/>
    <cellStyle name="Percent 10 2 161 3" xfId="13943"/>
    <cellStyle name="Percent 10 2 161 4" xfId="17671"/>
    <cellStyle name="Percent 10 2 161 5" xfId="22752"/>
    <cellStyle name="Percent 10 2 161 6" xfId="27756"/>
    <cellStyle name="Percent 10 2 161 7" xfId="32663"/>
    <cellStyle name="Percent 10 2 162" xfId="1573"/>
    <cellStyle name="Percent 10 2 162 2" xfId="12424"/>
    <cellStyle name="Percent 10 2 162 3" xfId="11706"/>
    <cellStyle name="Percent 10 2 162 4" xfId="12702"/>
    <cellStyle name="Percent 10 2 162 5" xfId="11934"/>
    <cellStyle name="Percent 10 2 162 6" xfId="11989"/>
    <cellStyle name="Percent 10 2 162 7" xfId="12402"/>
    <cellStyle name="Percent 10 2 163" xfId="1554"/>
    <cellStyle name="Percent 10 2 163 2" xfId="12410"/>
    <cellStyle name="Percent 10 2 163 3" xfId="12352"/>
    <cellStyle name="Percent 10 2 163 4" xfId="12359"/>
    <cellStyle name="Percent 10 2 163 5" xfId="11897"/>
    <cellStyle name="Percent 10 2 163 6" xfId="13269"/>
    <cellStyle name="Percent 10 2 163 7" xfId="12890"/>
    <cellStyle name="Percent 10 2 164" xfId="1410"/>
    <cellStyle name="Percent 10 2 164 2" xfId="12311"/>
    <cellStyle name="Percent 10 2 164 3" xfId="13299"/>
    <cellStyle name="Percent 10 2 164 4" xfId="11963"/>
    <cellStyle name="Percent 10 2 164 5" xfId="13489"/>
    <cellStyle name="Percent 10 2 164 6" xfId="11632"/>
    <cellStyle name="Percent 10 2 164 7" xfId="12140"/>
    <cellStyle name="Percent 10 2 165" xfId="1330"/>
    <cellStyle name="Percent 10 2 165 2" xfId="12254"/>
    <cellStyle name="Percent 10 2 165 3" xfId="12959"/>
    <cellStyle name="Percent 10 2 165 4" xfId="12899"/>
    <cellStyle name="Percent 10 2 165 5" xfId="12942"/>
    <cellStyle name="Percent 10 2 165 6" xfId="13282"/>
    <cellStyle name="Percent 10 2 165 7" xfId="12303"/>
    <cellStyle name="Percent 10 2 166" xfId="1524"/>
    <cellStyle name="Percent 10 2 166 2" xfId="12384"/>
    <cellStyle name="Percent 10 2 166 3" xfId="14056"/>
    <cellStyle name="Percent 10 2 166 4" xfId="17772"/>
    <cellStyle name="Percent 10 2 166 5" xfId="22838"/>
    <cellStyle name="Percent 10 2 166 6" xfId="27821"/>
    <cellStyle name="Percent 10 2 166 7" xfId="32704"/>
    <cellStyle name="Percent 10 2 167" xfId="1378"/>
    <cellStyle name="Percent 10 2 167 2" xfId="12288"/>
    <cellStyle name="Percent 10 2 167 3" xfId="13770"/>
    <cellStyle name="Percent 10 2 167 4" xfId="17514"/>
    <cellStyle name="Percent 10 2 167 5" xfId="22619"/>
    <cellStyle name="Percent 10 2 167 6" xfId="27648"/>
    <cellStyle name="Percent 10 2 167 7" xfId="32603"/>
    <cellStyle name="Percent 10 2 168" xfId="1663"/>
    <cellStyle name="Percent 10 2 168 2" xfId="12483"/>
    <cellStyle name="Percent 10 2 168 3" xfId="13927"/>
    <cellStyle name="Percent 10 2 168 4" xfId="17658"/>
    <cellStyle name="Percent 10 2 168 5" xfId="22740"/>
    <cellStyle name="Percent 10 2 168 6" xfId="27745"/>
    <cellStyle name="Percent 10 2 168 7" xfId="32655"/>
    <cellStyle name="Percent 10 2 169" xfId="1676"/>
    <cellStyle name="Percent 10 2 169 2" xfId="12491"/>
    <cellStyle name="Percent 10 2 169 3" xfId="13529"/>
    <cellStyle name="Percent 10 2 169 4" xfId="12085"/>
    <cellStyle name="Percent 10 2 169 5" xfId="12441"/>
    <cellStyle name="Percent 10 2 169 6" xfId="13578"/>
    <cellStyle name="Percent 10 2 169 7" xfId="12376"/>
    <cellStyle name="Percent 10 2 17" xfId="138"/>
    <cellStyle name="Percent 10 2 17 10" xfId="22924"/>
    <cellStyle name="Percent 10 2 17 2" xfId="10423"/>
    <cellStyle name="Percent 10 2 17 3" xfId="10736"/>
    <cellStyle name="Percent 10 2 17 4" xfId="11020"/>
    <cellStyle name="Percent 10 2 17 5" xfId="11342"/>
    <cellStyle name="Percent 10 2 17 6" xfId="12623"/>
    <cellStyle name="Percent 10 2 17 7" xfId="13388"/>
    <cellStyle name="Percent 10 2 17 8" xfId="14175"/>
    <cellStyle name="Percent 10 2 17 9" xfId="17877"/>
    <cellStyle name="Percent 10 2 170" xfId="1646"/>
    <cellStyle name="Percent 10 2 170 2" xfId="12471"/>
    <cellStyle name="Percent 10 2 170 3" xfId="12080"/>
    <cellStyle name="Percent 10 2 170 4" xfId="13264"/>
    <cellStyle name="Percent 10 2 170 5" xfId="13487"/>
    <cellStyle name="Percent 10 2 170 6" xfId="11669"/>
    <cellStyle name="Percent 10 2 170 7" xfId="14116"/>
    <cellStyle name="Percent 10 2 171" xfId="2006"/>
    <cellStyle name="Percent 10 2 171 2" xfId="12710"/>
    <cellStyle name="Percent 10 2 171 3" xfId="12843"/>
    <cellStyle name="Percent 10 2 171 4" xfId="13259"/>
    <cellStyle name="Percent 10 2 171 5" xfId="13261"/>
    <cellStyle name="Percent 10 2 171 6" xfId="14131"/>
    <cellStyle name="Percent 10 2 171 7" xfId="17839"/>
    <cellStyle name="Percent 10 2 172" xfId="2217"/>
    <cellStyle name="Percent 10 2 172 2" xfId="12848"/>
    <cellStyle name="Percent 10 2 172 3" xfId="13240"/>
    <cellStyle name="Percent 10 2 172 4" xfId="12138"/>
    <cellStyle name="Percent 10 2 172 5" xfId="13238"/>
    <cellStyle name="Percent 10 2 172 6" xfId="12055"/>
    <cellStyle name="Percent 10 2 172 7" xfId="12720"/>
    <cellStyle name="Percent 10 2 173" xfId="3236"/>
    <cellStyle name="Percent 10 2 173 2" xfId="13560"/>
    <cellStyle name="Percent 10 2 173 3" xfId="13905"/>
    <cellStyle name="Percent 10 2 173 4" xfId="17638"/>
    <cellStyle name="Percent 10 2 173 5" xfId="22724"/>
    <cellStyle name="Percent 10 2 173 6" xfId="27733"/>
    <cellStyle name="Percent 10 2 173 7" xfId="32649"/>
    <cellStyle name="Percent 10 2 174" xfId="3500"/>
    <cellStyle name="Percent 10 2 174 2" xfId="13738"/>
    <cellStyle name="Percent 10 2 174 3" xfId="17486"/>
    <cellStyle name="Percent 10 2 174 4" xfId="22596"/>
    <cellStyle name="Percent 10 2 174 5" xfId="27634"/>
    <cellStyle name="Percent 10 2 174 6" xfId="32593"/>
    <cellStyle name="Percent 10 2 174 7" xfId="37449"/>
    <cellStyle name="Percent 10 2 175" xfId="2269"/>
    <cellStyle name="Percent 10 2 175 2" xfId="12883"/>
    <cellStyle name="Percent 10 2 175 3" xfId="13552"/>
    <cellStyle name="Percent 10 2 175 4" xfId="13517"/>
    <cellStyle name="Percent 10 2 175 5" xfId="13864"/>
    <cellStyle name="Percent 10 2 175 6" xfId="17600"/>
    <cellStyle name="Percent 10 2 175 7" xfId="22693"/>
    <cellStyle name="Percent 10 2 176" xfId="1880"/>
    <cellStyle name="Percent 10 2 176 2" xfId="12629"/>
    <cellStyle name="Percent 10 2 176 3" xfId="13351"/>
    <cellStyle name="Percent 10 2 176 4" xfId="12595"/>
    <cellStyle name="Percent 10 2 176 5" xfId="10678"/>
    <cellStyle name="Percent 10 2 176 6" xfId="13514"/>
    <cellStyle name="Percent 10 2 176 7" xfId="12916"/>
    <cellStyle name="Percent 10 2 177" xfId="4178"/>
    <cellStyle name="Percent 10 2 178" xfId="4194"/>
    <cellStyle name="Percent 10 2 179" xfId="4209"/>
    <cellStyle name="Percent 10 2 18" xfId="214"/>
    <cellStyle name="Percent 10 2 18 10" xfId="32604"/>
    <cellStyle name="Percent 10 2 18 2" xfId="10424"/>
    <cellStyle name="Percent 10 2 18 3" xfId="10737"/>
    <cellStyle name="Percent 10 2 18 4" xfId="11021"/>
    <cellStyle name="Percent 10 2 18 5" xfId="11414"/>
    <cellStyle name="Percent 10 2 18 6" xfId="13773"/>
    <cellStyle name="Percent 10 2 18 7" xfId="17516"/>
    <cellStyle name="Percent 10 2 18 8" xfId="22621"/>
    <cellStyle name="Percent 10 2 18 9" xfId="27650"/>
    <cellStyle name="Percent 10 2 180" xfId="4193"/>
    <cellStyle name="Percent 10 2 181" xfId="4201"/>
    <cellStyle name="Percent 10 2 182" xfId="4205"/>
    <cellStyle name="Percent 10 2 183" xfId="4189"/>
    <cellStyle name="Percent 10 2 184" xfId="4195"/>
    <cellStyle name="Percent 10 2 185" xfId="4200"/>
    <cellStyle name="Percent 10 2 186" xfId="4191"/>
    <cellStyle name="Percent 10 2 187" xfId="4186"/>
    <cellStyle name="Percent 10 2 188" xfId="4211"/>
    <cellStyle name="Percent 10 2 189" xfId="4271"/>
    <cellStyle name="Percent 10 2 19" xfId="215"/>
    <cellStyle name="Percent 10 2 19 10" xfId="10681"/>
    <cellStyle name="Percent 10 2 19 2" xfId="10426"/>
    <cellStyle name="Percent 10 2 19 3" xfId="10739"/>
    <cellStyle name="Percent 10 2 19 4" xfId="11023"/>
    <cellStyle name="Percent 10 2 19 5" xfId="11415"/>
    <cellStyle name="Percent 10 2 19 6" xfId="12764"/>
    <cellStyle name="Percent 10 2 19 7" xfId="11935"/>
    <cellStyle name="Percent 10 2 19 8" xfId="11970"/>
    <cellStyle name="Percent 10 2 19 9" xfId="12360"/>
    <cellStyle name="Percent 10 2 190" xfId="4232"/>
    <cellStyle name="Percent 10 2 191" xfId="4382"/>
    <cellStyle name="Percent 10 2 192" xfId="4438"/>
    <cellStyle name="Percent 10 2 193" xfId="4494"/>
    <cellStyle name="Percent 10 2 194" xfId="4551"/>
    <cellStyle name="Percent 10 2 195" xfId="4563"/>
    <cellStyle name="Percent 10 2 196" xfId="4664"/>
    <cellStyle name="Percent 10 2 197" xfId="4729"/>
    <cellStyle name="Percent 10 2 198" xfId="4733"/>
    <cellStyle name="Percent 10 2 199" xfId="4735"/>
    <cellStyle name="Percent 10 2 2" xfId="48"/>
    <cellStyle name="Percent 10 2 2 10" xfId="22853"/>
    <cellStyle name="Percent 10 2 2 2" xfId="10390"/>
    <cellStyle name="Percent 10 2 2 3" xfId="10703"/>
    <cellStyle name="Percent 10 2 2 4" xfId="10987"/>
    <cellStyle name="Percent 10 2 2 5" xfId="11276"/>
    <cellStyle name="Percent 10 2 2 6" xfId="13230"/>
    <cellStyle name="Percent 10 2 2 7" xfId="12396"/>
    <cellStyle name="Percent 10 2 2 8" xfId="14074"/>
    <cellStyle name="Percent 10 2 2 9" xfId="17788"/>
    <cellStyle name="Percent 10 2 20" xfId="218"/>
    <cellStyle name="Percent 10 2 20 10" xfId="12556"/>
    <cellStyle name="Percent 10 2 20 2" xfId="10429"/>
    <cellStyle name="Percent 10 2 20 3" xfId="10742"/>
    <cellStyle name="Percent 10 2 20 4" xfId="11026"/>
    <cellStyle name="Percent 10 2 20 5" xfId="11418"/>
    <cellStyle name="Percent 10 2 20 6" xfId="12249"/>
    <cellStyle name="Percent 10 2 20 7" xfId="13151"/>
    <cellStyle name="Percent 10 2 20 8" xfId="13395"/>
    <cellStyle name="Percent 10 2 20 9" xfId="12247"/>
    <cellStyle name="Percent 10 2 200" xfId="4737"/>
    <cellStyle name="Percent 10 2 201" xfId="4739"/>
    <cellStyle name="Percent 10 2 202" xfId="4741"/>
    <cellStyle name="Percent 10 2 203" xfId="4825"/>
    <cellStyle name="Percent 10 2 204" xfId="4772"/>
    <cellStyle name="Percent 10 2 205" xfId="4798"/>
    <cellStyle name="Percent 10 2 206" xfId="4964"/>
    <cellStyle name="Percent 10 2 207" xfId="5045"/>
    <cellStyle name="Percent 10 2 208" xfId="5143"/>
    <cellStyle name="Percent 10 2 209" xfId="4972"/>
    <cellStyle name="Percent 10 2 21" xfId="220"/>
    <cellStyle name="Percent 10 2 21 10" xfId="32708"/>
    <cellStyle name="Percent 10 2 21 2" xfId="10431"/>
    <cellStyle name="Percent 10 2 21 3" xfId="10744"/>
    <cellStyle name="Percent 10 2 21 4" xfId="11028"/>
    <cellStyle name="Percent 10 2 21 5" xfId="11420"/>
    <cellStyle name="Percent 10 2 21 6" xfId="14063"/>
    <cellStyle name="Percent 10 2 21 7" xfId="17778"/>
    <cellStyle name="Percent 10 2 21 8" xfId="22844"/>
    <cellStyle name="Percent 10 2 21 9" xfId="27825"/>
    <cellStyle name="Percent 10 2 210" xfId="5184"/>
    <cellStyle name="Percent 10 2 211" xfId="5375"/>
    <cellStyle name="Percent 10 2 212" xfId="5253"/>
    <cellStyle name="Percent 10 2 213" xfId="5317"/>
    <cellStyle name="Percent 10 2 214" xfId="5499"/>
    <cellStyle name="Percent 10 2 215" xfId="5394"/>
    <cellStyle name="Percent 10 2 216" xfId="5325"/>
    <cellStyle name="Percent 10 2 217" xfId="5469"/>
    <cellStyle name="Percent 10 2 218" xfId="5264"/>
    <cellStyle name="Percent 10 2 219" xfId="5687"/>
    <cellStyle name="Percent 10 2 22" xfId="222"/>
    <cellStyle name="Percent 10 2 22 10" xfId="32622"/>
    <cellStyle name="Percent 10 2 22 2" xfId="10433"/>
    <cellStyle name="Percent 10 2 22 3" xfId="10746"/>
    <cellStyle name="Percent 10 2 22 4" xfId="11030"/>
    <cellStyle name="Percent 10 2 22 5" xfId="11422"/>
    <cellStyle name="Percent 10 2 22 6" xfId="13820"/>
    <cellStyle name="Percent 10 2 22 7" xfId="17560"/>
    <cellStyle name="Percent 10 2 22 8" xfId="22657"/>
    <cellStyle name="Percent 10 2 22 9" xfId="27680"/>
    <cellStyle name="Percent 10 2 220" xfId="5689"/>
    <cellStyle name="Percent 10 2 23" xfId="224"/>
    <cellStyle name="Percent 10 2 23 10" xfId="11729"/>
    <cellStyle name="Percent 10 2 23 2" xfId="10435"/>
    <cellStyle name="Percent 10 2 23 3" xfId="10748"/>
    <cellStyle name="Percent 10 2 23 4" xfId="11032"/>
    <cellStyle name="Percent 10 2 23 5" xfId="11424"/>
    <cellStyle name="Percent 10 2 23 6" xfId="13334"/>
    <cellStyle name="Percent 10 2 23 7" xfId="13698"/>
    <cellStyle name="Percent 10 2 23 8" xfId="12532"/>
    <cellStyle name="Percent 10 2 23 9" xfId="11300"/>
    <cellStyle name="Percent 10 2 24" xfId="226"/>
    <cellStyle name="Percent 10 2 24 10" xfId="13980"/>
    <cellStyle name="Percent 10 2 24 2" xfId="10437"/>
    <cellStyle name="Percent 10 2 24 3" xfId="10750"/>
    <cellStyle name="Percent 10 2 24 4" xfId="11034"/>
    <cellStyle name="Percent 10 2 24 5" xfId="11426"/>
    <cellStyle name="Percent 10 2 24 6" xfId="12274"/>
    <cellStyle name="Percent 10 2 24 7" xfId="12901"/>
    <cellStyle name="Percent 10 2 24 8" xfId="13248"/>
    <cellStyle name="Percent 10 2 24 9" xfId="11792"/>
    <cellStyle name="Percent 10 2 25" xfId="228"/>
    <cellStyle name="Percent 10 2 25 10" xfId="22610"/>
    <cellStyle name="Percent 10 2 25 2" xfId="10439"/>
    <cellStyle name="Percent 10 2 25 3" xfId="10752"/>
    <cellStyle name="Percent 10 2 25 4" xfId="11036"/>
    <cellStyle name="Percent 10 2 25 5" xfId="11428"/>
    <cellStyle name="Percent 10 2 25 6" xfId="12968"/>
    <cellStyle name="Percent 10 2 25 7" xfId="13401"/>
    <cellStyle name="Percent 10 2 25 8" xfId="13759"/>
    <cellStyle name="Percent 10 2 25 9" xfId="17504"/>
    <cellStyle name="Percent 10 2 26" xfId="230"/>
    <cellStyle name="Percent 10 2 26 10" xfId="14093"/>
    <cellStyle name="Percent 10 2 26 2" xfId="10441"/>
    <cellStyle name="Percent 10 2 26 3" xfId="10754"/>
    <cellStyle name="Percent 10 2 26 4" xfId="11038"/>
    <cellStyle name="Percent 10 2 26 5" xfId="11430"/>
    <cellStyle name="Percent 10 2 26 6" xfId="12828"/>
    <cellStyle name="Percent 10 2 26 7" xfId="12847"/>
    <cellStyle name="Percent 10 2 26 8" xfId="13486"/>
    <cellStyle name="Percent 10 2 26 9" xfId="11809"/>
    <cellStyle name="Percent 10 2 27" xfId="232"/>
    <cellStyle name="Percent 10 2 27 10" xfId="17781"/>
    <cellStyle name="Percent 10 2 27 2" xfId="10443"/>
    <cellStyle name="Percent 10 2 27 3" xfId="10756"/>
    <cellStyle name="Percent 10 2 27 4" xfId="11040"/>
    <cellStyle name="Percent 10 2 27 5" xfId="11432"/>
    <cellStyle name="Percent 10 2 27 6" xfId="13440"/>
    <cellStyle name="Percent 10 2 27 7" xfId="13416"/>
    <cellStyle name="Percent 10 2 27 8" xfId="12104"/>
    <cellStyle name="Percent 10 2 27 9" xfId="14067"/>
    <cellStyle name="Percent 10 2 28" xfId="234"/>
    <cellStyle name="Percent 10 2 28 10" xfId="22823"/>
    <cellStyle name="Percent 10 2 28 2" xfId="10445"/>
    <cellStyle name="Percent 10 2 28 3" xfId="10758"/>
    <cellStyle name="Percent 10 2 28 4" xfId="11042"/>
    <cellStyle name="Percent 10 2 28 5" xfId="11434"/>
    <cellStyle name="Percent 10 2 28 6" xfId="12379"/>
    <cellStyle name="Percent 10 2 28 7" xfId="13623"/>
    <cellStyle name="Percent 10 2 28 8" xfId="14037"/>
    <cellStyle name="Percent 10 2 28 9" xfId="17755"/>
    <cellStyle name="Percent 10 2 29" xfId="236"/>
    <cellStyle name="Percent 10 2 29 10" xfId="17853"/>
    <cellStyle name="Percent 10 2 29 2" xfId="10447"/>
    <cellStyle name="Percent 10 2 29 3" xfId="10760"/>
    <cellStyle name="Percent 10 2 29 4" xfId="11044"/>
    <cellStyle name="Percent 10 2 29 5" xfId="11436"/>
    <cellStyle name="Percent 10 2 29 6" xfId="12540"/>
    <cellStyle name="Percent 10 2 29 7" xfId="11902"/>
    <cellStyle name="Percent 10 2 29 8" xfId="13251"/>
    <cellStyle name="Percent 10 2 29 9" xfId="14149"/>
    <cellStyle name="Percent 10 2 3" xfId="69"/>
    <cellStyle name="Percent 10 2 3 10" xfId="27685"/>
    <cellStyle name="Percent 10 2 3 2" xfId="10397"/>
    <cellStyle name="Percent 10 2 3 3" xfId="10710"/>
    <cellStyle name="Percent 10 2 3 4" xfId="10994"/>
    <cellStyle name="Percent 10 2 3 5" xfId="11283"/>
    <cellStyle name="Percent 10 2 3 6" xfId="13408"/>
    <cellStyle name="Percent 10 2 3 7" xfId="13826"/>
    <cellStyle name="Percent 10 2 3 8" xfId="17566"/>
    <cellStyle name="Percent 10 2 3 9" xfId="22662"/>
    <cellStyle name="Percent 10 2 30" xfId="238"/>
    <cellStyle name="Percent 10 2 30 10" xfId="27799"/>
    <cellStyle name="Percent 10 2 30 2" xfId="10449"/>
    <cellStyle name="Percent 10 2 30 3" xfId="10762"/>
    <cellStyle name="Percent 10 2 30 4" xfId="11046"/>
    <cellStyle name="Percent 10 2 30 5" xfId="11438"/>
    <cellStyle name="Percent 10 2 30 6" xfId="12573"/>
    <cellStyle name="Percent 10 2 30 7" xfId="14015"/>
    <cellStyle name="Percent 10 2 30 8" xfId="17734"/>
    <cellStyle name="Percent 10 2 30 9" xfId="22806"/>
    <cellStyle name="Percent 10 2 31" xfId="240"/>
    <cellStyle name="Percent 10 2 31 10" xfId="17465"/>
    <cellStyle name="Percent 10 2 31 2" xfId="10451"/>
    <cellStyle name="Percent 10 2 31 3" xfId="10764"/>
    <cellStyle name="Percent 10 2 31 4" xfId="11048"/>
    <cellStyle name="Percent 10 2 31 5" xfId="11440"/>
    <cellStyle name="Percent 10 2 31 6" xfId="13426"/>
    <cellStyle name="Percent 10 2 31 7" xfId="11816"/>
    <cellStyle name="Percent 10 2 31 8" xfId="11308"/>
    <cellStyle name="Percent 10 2 31 9" xfId="13714"/>
    <cellStyle name="Percent 10 2 32" xfId="242"/>
    <cellStyle name="Percent 10 2 32 10" xfId="27737"/>
    <cellStyle name="Percent 10 2 32 2" xfId="10453"/>
    <cellStyle name="Percent 10 2 32 3" xfId="10766"/>
    <cellStyle name="Percent 10 2 32 4" xfId="11050"/>
    <cellStyle name="Percent 10 2 32 5" xfId="11442"/>
    <cellStyle name="Percent 10 2 32 6" xfId="12364"/>
    <cellStyle name="Percent 10 2 32 7" xfId="13913"/>
    <cellStyle name="Percent 10 2 32 8" xfId="17646"/>
    <cellStyle name="Percent 10 2 32 9" xfId="22729"/>
    <cellStyle name="Percent 10 2 33" xfId="244"/>
    <cellStyle name="Percent 10 2 33 10" xfId="27761"/>
    <cellStyle name="Percent 10 2 33 2" xfId="10455"/>
    <cellStyle name="Percent 10 2 33 3" xfId="10768"/>
    <cellStyle name="Percent 10 2 33 4" xfId="11052"/>
    <cellStyle name="Percent 10 2 33 5" xfId="11444"/>
    <cellStyle name="Percent 10 2 33 6" xfId="12183"/>
    <cellStyle name="Percent 10 2 33 7" xfId="13951"/>
    <cellStyle name="Percent 10 2 33 8" xfId="17679"/>
    <cellStyle name="Percent 10 2 33 9" xfId="22758"/>
    <cellStyle name="Percent 10 2 34" xfId="246"/>
    <cellStyle name="Percent 10 2 34 10" xfId="22583"/>
    <cellStyle name="Percent 10 2 34 2" xfId="10457"/>
    <cellStyle name="Percent 10 2 34 3" xfId="10770"/>
    <cellStyle name="Percent 10 2 34 4" xfId="11054"/>
    <cellStyle name="Percent 10 2 34 5" xfId="11446"/>
    <cellStyle name="Percent 10 2 34 6" xfId="11313"/>
    <cellStyle name="Percent 10 2 34 7" xfId="12320"/>
    <cellStyle name="Percent 10 2 34 8" xfId="13719"/>
    <cellStyle name="Percent 10 2 34 9" xfId="17470"/>
    <cellStyle name="Percent 10 2 35" xfId="249"/>
    <cellStyle name="Percent 10 2 35 10" xfId="13437"/>
    <cellStyle name="Percent 10 2 35 2" xfId="10460"/>
    <cellStyle name="Percent 10 2 35 3" xfId="10773"/>
    <cellStyle name="Percent 10 2 35 4" xfId="11057"/>
    <cellStyle name="Percent 10 2 35 5" xfId="11449"/>
    <cellStyle name="Percent 10 2 35 6" xfId="12057"/>
    <cellStyle name="Percent 10 2 35 7" xfId="12250"/>
    <cellStyle name="Percent 10 2 35 8" xfId="11388"/>
    <cellStyle name="Percent 10 2 35 9" xfId="11343"/>
    <cellStyle name="Percent 10 2 36" xfId="251"/>
    <cellStyle name="Percent 10 2 36 10" xfId="17604"/>
    <cellStyle name="Percent 10 2 36 2" xfId="10462"/>
    <cellStyle name="Percent 10 2 36 3" xfId="10775"/>
    <cellStyle name="Percent 10 2 36 4" xfId="11059"/>
    <cellStyle name="Percent 10 2 36 5" xfId="11451"/>
    <cellStyle name="Percent 10 2 36 6" xfId="11976"/>
    <cellStyle name="Percent 10 2 36 7" xfId="12492"/>
    <cellStyle name="Percent 10 2 36 8" xfId="13289"/>
    <cellStyle name="Percent 10 2 36 9" xfId="13869"/>
    <cellStyle name="Percent 10 2 37" xfId="252"/>
    <cellStyle name="Percent 10 2 37 10" xfId="27741"/>
    <cellStyle name="Percent 10 2 37 2" xfId="10463"/>
    <cellStyle name="Percent 10 2 37 3" xfId="10776"/>
    <cellStyle name="Percent 10 2 37 4" xfId="11060"/>
    <cellStyle name="Percent 10 2 37 5" xfId="11452"/>
    <cellStyle name="Percent 10 2 37 6" xfId="11961"/>
    <cellStyle name="Percent 10 2 37 7" xfId="13921"/>
    <cellStyle name="Percent 10 2 37 8" xfId="17652"/>
    <cellStyle name="Percent 10 2 37 9" xfId="22734"/>
    <cellStyle name="Percent 10 2 38" xfId="254"/>
    <cellStyle name="Percent 10 2 38 10" xfId="17810"/>
    <cellStyle name="Percent 10 2 38 2" xfId="10465"/>
    <cellStyle name="Percent 10 2 38 3" xfId="10778"/>
    <cellStyle name="Percent 10 2 38 4" xfId="11062"/>
    <cellStyle name="Percent 10 2 38 5" xfId="11454"/>
    <cellStyle name="Percent 10 2 38 6" xfId="11915"/>
    <cellStyle name="Percent 10 2 38 7" xfId="13091"/>
    <cellStyle name="Percent 10 2 38 8" xfId="12741"/>
    <cellStyle name="Percent 10 2 38 9" xfId="14099"/>
    <cellStyle name="Percent 10 2 39" xfId="256"/>
    <cellStyle name="Percent 10 2 39 10" xfId="12618"/>
    <cellStyle name="Percent 10 2 39 2" xfId="10467"/>
    <cellStyle name="Percent 10 2 39 3" xfId="10780"/>
    <cellStyle name="Percent 10 2 39 4" xfId="11064"/>
    <cellStyle name="Percent 10 2 39 5" xfId="11456"/>
    <cellStyle name="Percent 10 2 39 6" xfId="11870"/>
    <cellStyle name="Percent 10 2 39 7" xfId="12407"/>
    <cellStyle name="Percent 10 2 39 8" xfId="12922"/>
    <cellStyle name="Percent 10 2 39 9" xfId="11985"/>
    <cellStyle name="Percent 10 2 4" xfId="58"/>
    <cellStyle name="Percent 10 2 4 10" xfId="32698"/>
    <cellStyle name="Percent 10 2 4 2" xfId="10398"/>
    <cellStyle name="Percent 10 2 4 3" xfId="10711"/>
    <cellStyle name="Percent 10 2 4 4" xfId="10995"/>
    <cellStyle name="Percent 10 2 4 5" xfId="11273"/>
    <cellStyle name="Percent 10 2 4 6" xfId="14032"/>
    <cellStyle name="Percent 10 2 4 7" xfId="17750"/>
    <cellStyle name="Percent 10 2 4 8" xfId="22820"/>
    <cellStyle name="Percent 10 2 4 9" xfId="27810"/>
    <cellStyle name="Percent 10 2 40" xfId="258"/>
    <cellStyle name="Percent 10 2 40 10" xfId="27713"/>
    <cellStyle name="Percent 10 2 40 2" xfId="10469"/>
    <cellStyle name="Percent 10 2 40 3" xfId="10782"/>
    <cellStyle name="Percent 10 2 40 4" xfId="11066"/>
    <cellStyle name="Percent 10 2 40 5" xfId="11458"/>
    <cellStyle name="Percent 10 2 40 6" xfId="10694"/>
    <cellStyle name="Percent 10 2 40 7" xfId="13873"/>
    <cellStyle name="Percent 10 2 40 8" xfId="17608"/>
    <cellStyle name="Percent 10 2 40 9" xfId="22699"/>
    <cellStyle name="Percent 10 2 41" xfId="260"/>
    <cellStyle name="Percent 10 2 41 10" xfId="12586"/>
    <cellStyle name="Percent 10 2 41 2" xfId="10471"/>
    <cellStyle name="Percent 10 2 41 3" xfId="10784"/>
    <cellStyle name="Percent 10 2 41 4" xfId="11068"/>
    <cellStyle name="Percent 10 2 41 5" xfId="11460"/>
    <cellStyle name="Percent 10 2 41 6" xfId="11718"/>
    <cellStyle name="Percent 10 2 41 7" xfId="12931"/>
    <cellStyle name="Percent 10 2 41 8" xfId="13551"/>
    <cellStyle name="Percent 10 2 41 9" xfId="12734"/>
    <cellStyle name="Percent 10 2 42" xfId="262"/>
    <cellStyle name="Percent 10 2 42 10" xfId="11647"/>
    <cellStyle name="Percent 10 2 42 2" xfId="10473"/>
    <cellStyle name="Percent 10 2 42 3" xfId="10786"/>
    <cellStyle name="Percent 10 2 42 4" xfId="11070"/>
    <cellStyle name="Percent 10 2 42 5" xfId="11462"/>
    <cellStyle name="Percent 10 2 42 6" xfId="11756"/>
    <cellStyle name="Percent 10 2 42 7" xfId="11917"/>
    <cellStyle name="Percent 10 2 42 8" xfId="12877"/>
    <cellStyle name="Percent 10 2 42 9" xfId="11766"/>
    <cellStyle name="Percent 10 2 43" xfId="264"/>
    <cellStyle name="Percent 10 2 43 10" xfId="10669"/>
    <cellStyle name="Percent 10 2 43 2" xfId="10475"/>
    <cellStyle name="Percent 10 2 43 3" xfId="10788"/>
    <cellStyle name="Percent 10 2 43 4" xfId="11072"/>
    <cellStyle name="Percent 10 2 43 5" xfId="11464"/>
    <cellStyle name="Percent 10 2 43 6" xfId="11652"/>
    <cellStyle name="Percent 10 2 43 7" xfId="13254"/>
    <cellStyle name="Percent 10 2 43 8" xfId="13280"/>
    <cellStyle name="Percent 10 2 43 9" xfId="13364"/>
    <cellStyle name="Percent 10 2 44" xfId="266"/>
    <cellStyle name="Percent 10 2 44 10" xfId="32610"/>
    <cellStyle name="Percent 10 2 44 2" xfId="10477"/>
    <cellStyle name="Percent 10 2 44 3" xfId="10790"/>
    <cellStyle name="Percent 10 2 44 4" xfId="11074"/>
    <cellStyle name="Percent 10 2 44 5" xfId="11466"/>
    <cellStyle name="Percent 10 2 44 6" xfId="13791"/>
    <cellStyle name="Percent 10 2 44 7" xfId="17532"/>
    <cellStyle name="Percent 10 2 44 8" xfId="22633"/>
    <cellStyle name="Percent 10 2 44 9" xfId="27660"/>
    <cellStyle name="Percent 10 2 45" xfId="268"/>
    <cellStyle name="Percent 10 2 45 10" xfId="12769"/>
    <cellStyle name="Percent 10 2 45 2" xfId="10479"/>
    <cellStyle name="Percent 10 2 45 3" xfId="10792"/>
    <cellStyle name="Percent 10 2 45 4" xfId="11076"/>
    <cellStyle name="Percent 10 2 45 5" xfId="11468"/>
    <cellStyle name="Percent 10 2 45 6" xfId="12717"/>
    <cellStyle name="Percent 10 2 45 7" xfId="11394"/>
    <cellStyle name="Percent 10 2 45 8" xfId="13523"/>
    <cellStyle name="Percent 10 2 45 9" xfId="12838"/>
    <cellStyle name="Percent 10 2 46" xfId="270"/>
    <cellStyle name="Percent 10 2 46 10" xfId="27801"/>
    <cellStyle name="Percent 10 2 46 2" xfId="10481"/>
    <cellStyle name="Percent 10 2 46 3" xfId="10794"/>
    <cellStyle name="Percent 10 2 46 4" xfId="11078"/>
    <cellStyle name="Percent 10 2 46 5" xfId="11470"/>
    <cellStyle name="Percent 10 2 46 6" xfId="13371"/>
    <cellStyle name="Percent 10 2 46 7" xfId="14017"/>
    <cellStyle name="Percent 10 2 46 8" xfId="17736"/>
    <cellStyle name="Percent 10 2 46 9" xfId="22808"/>
    <cellStyle name="Percent 10 2 47" xfId="272"/>
    <cellStyle name="Percent 10 2 47 10" xfId="17878"/>
    <cellStyle name="Percent 10 2 47 2" xfId="10483"/>
    <cellStyle name="Percent 10 2 47 3" xfId="10796"/>
    <cellStyle name="Percent 10 2 47 4" xfId="11080"/>
    <cellStyle name="Percent 10 2 47 5" xfId="11472"/>
    <cellStyle name="Percent 10 2 47 6" xfId="12310"/>
    <cellStyle name="Percent 10 2 47 7" xfId="13540"/>
    <cellStyle name="Percent 10 2 47 8" xfId="11767"/>
    <cellStyle name="Percent 10 2 47 9" xfId="14176"/>
    <cellStyle name="Percent 10 2 48" xfId="274"/>
    <cellStyle name="Percent 10 2 48 10" xfId="32748"/>
    <cellStyle name="Percent 10 2 48 2" xfId="10485"/>
    <cellStyle name="Percent 10 2 48 3" xfId="10798"/>
    <cellStyle name="Percent 10 2 48 4" xfId="11082"/>
    <cellStyle name="Percent 10 2 48 5" xfId="11474"/>
    <cellStyle name="Percent 10 2 48 6" xfId="14171"/>
    <cellStyle name="Percent 10 2 48 7" xfId="17873"/>
    <cellStyle name="Percent 10 2 48 8" xfId="22920"/>
    <cellStyle name="Percent 10 2 48 9" xfId="27886"/>
    <cellStyle name="Percent 10 2 49" xfId="276"/>
    <cellStyle name="Percent 10 2 49 10" xfId="32679"/>
    <cellStyle name="Percent 10 2 49 2" xfId="10487"/>
    <cellStyle name="Percent 10 2 49 3" xfId="10800"/>
    <cellStyle name="Percent 10 2 49 4" xfId="11084"/>
    <cellStyle name="Percent 10 2 49 5" xfId="11476"/>
    <cellStyle name="Percent 10 2 49 6" xfId="13988"/>
    <cellStyle name="Percent 10 2 49 7" xfId="17710"/>
    <cellStyle name="Percent 10 2 49 8" xfId="22785"/>
    <cellStyle name="Percent 10 2 49 9" xfId="27783"/>
    <cellStyle name="Percent 10 2 5" xfId="115"/>
    <cellStyle name="Percent 10 2 5 10" xfId="11860"/>
    <cellStyle name="Percent 10 2 5 2" xfId="10399"/>
    <cellStyle name="Percent 10 2 5 3" xfId="10712"/>
    <cellStyle name="Percent 10 2 5 4" xfId="10996"/>
    <cellStyle name="Percent 10 2 5 5" xfId="11319"/>
    <cellStyle name="Percent 10 2 5 6" xfId="13466"/>
    <cellStyle name="Percent 10 2 5 7" xfId="13424"/>
    <cellStyle name="Percent 10 2 5 8" xfId="11658"/>
    <cellStyle name="Percent 10 2 5 9" xfId="13189"/>
    <cellStyle name="Percent 10 2 50" xfId="278"/>
    <cellStyle name="Percent 10 2 50 10" xfId="13296"/>
    <cellStyle name="Percent 10 2 50 2" xfId="10489"/>
    <cellStyle name="Percent 10 2 50 3" xfId="10802"/>
    <cellStyle name="Percent 10 2 50 4" xfId="11086"/>
    <cellStyle name="Percent 10 2 50 5" xfId="11478"/>
    <cellStyle name="Percent 10 2 50 6" xfId="13592"/>
    <cellStyle name="Percent 10 2 50 7" xfId="11908"/>
    <cellStyle name="Percent 10 2 50 8" xfId="13193"/>
    <cellStyle name="Percent 10 2 50 9" xfId="11773"/>
    <cellStyle name="Percent 10 2 51" xfId="280"/>
    <cellStyle name="Percent 10 2 51 10" xfId="27782"/>
    <cellStyle name="Percent 10 2 51 2" xfId="10491"/>
    <cellStyle name="Percent 10 2 51 3" xfId="10804"/>
    <cellStyle name="Percent 10 2 51 4" xfId="11088"/>
    <cellStyle name="Percent 10 2 51 5" xfId="11480"/>
    <cellStyle name="Percent 10 2 51 6" xfId="13231"/>
    <cellStyle name="Percent 10 2 51 7" xfId="13986"/>
    <cellStyle name="Percent 10 2 51 8" xfId="17709"/>
    <cellStyle name="Percent 10 2 51 9" xfId="22784"/>
    <cellStyle name="Percent 10 2 52" xfId="281"/>
    <cellStyle name="Percent 10 2 52 10" xfId="10666"/>
    <cellStyle name="Percent 10 2 52 2" xfId="10492"/>
    <cellStyle name="Percent 10 2 52 3" xfId="10805"/>
    <cellStyle name="Percent 10 2 52 4" xfId="11089"/>
    <cellStyle name="Percent 10 2 52 5" xfId="11481"/>
    <cellStyle name="Percent 10 2 52 6" xfId="12418"/>
    <cellStyle name="Percent 10 2 52 7" xfId="11853"/>
    <cellStyle name="Percent 10 2 52 8" xfId="12318"/>
    <cellStyle name="Percent 10 2 52 9" xfId="13536"/>
    <cellStyle name="Percent 10 2 53" xfId="283"/>
    <cellStyle name="Percent 10 2 53 10" xfId="22584"/>
    <cellStyle name="Percent 10 2 53 2" xfId="10494"/>
    <cellStyle name="Percent 10 2 53 3" xfId="10807"/>
    <cellStyle name="Percent 10 2 53 4" xfId="11091"/>
    <cellStyle name="Percent 10 2 53 5" xfId="11483"/>
    <cellStyle name="Percent 10 2 53 6" xfId="12711"/>
    <cellStyle name="Percent 10 2 53 7" xfId="12810"/>
    <cellStyle name="Percent 10 2 53 8" xfId="13722"/>
    <cellStyle name="Percent 10 2 53 9" xfId="17472"/>
    <cellStyle name="Percent 10 2 54" xfId="286"/>
    <cellStyle name="Percent 10 2 54 10" xfId="13525"/>
    <cellStyle name="Percent 10 2 54 2" xfId="10497"/>
    <cellStyle name="Percent 10 2 54 3" xfId="10810"/>
    <cellStyle name="Percent 10 2 54 4" xfId="11094"/>
    <cellStyle name="Percent 10 2 54 5" xfId="11486"/>
    <cellStyle name="Percent 10 2 54 6" xfId="13644"/>
    <cellStyle name="Percent 10 2 54 7" xfId="12131"/>
    <cellStyle name="Percent 10 2 54 8" xfId="13138"/>
    <cellStyle name="Percent 10 2 54 9" xfId="12941"/>
    <cellStyle name="Percent 10 2 55" xfId="288"/>
    <cellStyle name="Percent 10 2 55 10" xfId="13753"/>
    <cellStyle name="Percent 10 2 55 2" xfId="10499"/>
    <cellStyle name="Percent 10 2 55 3" xfId="10812"/>
    <cellStyle name="Percent 10 2 55 4" xfId="11096"/>
    <cellStyle name="Percent 10 2 55 5" xfId="11488"/>
    <cellStyle name="Percent 10 2 55 6" xfId="13232"/>
    <cellStyle name="Percent 10 2 55 7" xfId="12579"/>
    <cellStyle name="Percent 10 2 55 8" xfId="12325"/>
    <cellStyle name="Percent 10 2 55 9" xfId="12898"/>
    <cellStyle name="Percent 10 2 56" xfId="290"/>
    <cellStyle name="Percent 10 2 56 10" xfId="13938"/>
    <cellStyle name="Percent 10 2 56 2" xfId="10501"/>
    <cellStyle name="Percent 10 2 56 3" xfId="10814"/>
    <cellStyle name="Percent 10 2 56 4" xfId="11098"/>
    <cellStyle name="Percent 10 2 56 5" xfId="11490"/>
    <cellStyle name="Percent 10 2 56 6" xfId="12830"/>
    <cellStyle name="Percent 10 2 56 7" xfId="13550"/>
    <cellStyle name="Percent 10 2 56 8" xfId="12823"/>
    <cellStyle name="Percent 10 2 56 9" xfId="11848"/>
    <cellStyle name="Percent 10 2 57" xfId="292"/>
    <cellStyle name="Percent 10 2 57 10" xfId="12184"/>
    <cellStyle name="Percent 10 2 57 2" xfId="10503"/>
    <cellStyle name="Percent 10 2 57 3" xfId="10816"/>
    <cellStyle name="Percent 10 2 57 4" xfId="11100"/>
    <cellStyle name="Percent 10 2 57 5" xfId="11492"/>
    <cellStyle name="Percent 10 2 57 6" xfId="12692"/>
    <cellStyle name="Percent 10 2 57 7" xfId="12684"/>
    <cellStyle name="Percent 10 2 57 8" xfId="12327"/>
    <cellStyle name="Percent 10 2 57 9" xfId="13292"/>
    <cellStyle name="Percent 10 2 58" xfId="294"/>
    <cellStyle name="Percent 10 2 58 10" xfId="17815"/>
    <cellStyle name="Percent 10 2 58 2" xfId="10505"/>
    <cellStyle name="Percent 10 2 58 3" xfId="10818"/>
    <cellStyle name="Percent 10 2 58 4" xfId="11102"/>
    <cellStyle name="Percent 10 2 58 5" xfId="11494"/>
    <cellStyle name="Percent 10 2 58 6" xfId="12728"/>
    <cellStyle name="Percent 10 2 58 7" xfId="12317"/>
    <cellStyle name="Percent 10 2 58 8" xfId="13284"/>
    <cellStyle name="Percent 10 2 58 9" xfId="14105"/>
    <cellStyle name="Percent 10 2 59" xfId="295"/>
    <cellStyle name="Percent 10 2 59 10" xfId="17795"/>
    <cellStyle name="Percent 10 2 59 2" xfId="10506"/>
    <cellStyle name="Percent 10 2 59 3" xfId="10819"/>
    <cellStyle name="Percent 10 2 59 4" xfId="11103"/>
    <cellStyle name="Percent 10 2 59 5" xfId="11495"/>
    <cellStyle name="Percent 10 2 59 6" xfId="13327"/>
    <cellStyle name="Percent 10 2 59 7" xfId="12851"/>
    <cellStyle name="Percent 10 2 59 8" xfId="12929"/>
    <cellStyle name="Percent 10 2 59 9" xfId="14081"/>
    <cellStyle name="Percent 10 2 6" xfId="146"/>
    <cellStyle name="Percent 10 2 6 10" xfId="12841"/>
    <cellStyle name="Percent 10 2 6 2" xfId="10400"/>
    <cellStyle name="Percent 10 2 6 3" xfId="10713"/>
    <cellStyle name="Percent 10 2 6 4" xfId="10997"/>
    <cellStyle name="Percent 10 2 6 5" xfId="11349"/>
    <cellStyle name="Percent 10 2 6 6" xfId="12857"/>
    <cellStyle name="Percent 10 2 6 7" xfId="13038"/>
    <cellStyle name="Percent 10 2 6 8" xfId="13223"/>
    <cellStyle name="Percent 10 2 6 9" xfId="12911"/>
    <cellStyle name="Percent 10 2 60" xfId="297"/>
    <cellStyle name="Percent 10 2 60 10" xfId="12114"/>
    <cellStyle name="Percent 10 2 60 2" xfId="10508"/>
    <cellStyle name="Percent 10 2 60 3" xfId="10821"/>
    <cellStyle name="Percent 10 2 60 4" xfId="11105"/>
    <cellStyle name="Percent 10 2 60 5" xfId="11497"/>
    <cellStyle name="Percent 10 2 60 6" xfId="12268"/>
    <cellStyle name="Percent 10 2 60 7" xfId="13710"/>
    <cellStyle name="Percent 10 2 60 8" xfId="11875"/>
    <cellStyle name="Percent 10 2 60 9" xfId="11993"/>
    <cellStyle name="Percent 10 2 61" xfId="299"/>
    <cellStyle name="Percent 10 2 61 10" xfId="32719"/>
    <cellStyle name="Percent 10 2 61 2" xfId="10510"/>
    <cellStyle name="Percent 10 2 61 3" xfId="10823"/>
    <cellStyle name="Percent 10 2 61 4" xfId="11107"/>
    <cellStyle name="Percent 10 2 61 5" xfId="11499"/>
    <cellStyle name="Percent 10 2 61 6" xfId="14085"/>
    <cellStyle name="Percent 10 2 61 7" xfId="17799"/>
    <cellStyle name="Percent 10 2 61 8" xfId="22862"/>
    <cellStyle name="Percent 10 2 61 9" xfId="27839"/>
    <cellStyle name="Percent 10 2 62" xfId="301"/>
    <cellStyle name="Percent 10 2 62 10" xfId="32630"/>
    <cellStyle name="Percent 10 2 62 2" xfId="10512"/>
    <cellStyle name="Percent 10 2 62 3" xfId="10825"/>
    <cellStyle name="Percent 10 2 62 4" xfId="11109"/>
    <cellStyle name="Percent 10 2 62 5" xfId="11501"/>
    <cellStyle name="Percent 10 2 62 6" xfId="13841"/>
    <cellStyle name="Percent 10 2 62 7" xfId="17581"/>
    <cellStyle name="Percent 10 2 62 8" xfId="22676"/>
    <cellStyle name="Percent 10 2 62 9" xfId="27696"/>
    <cellStyle name="Percent 10 2 63" xfId="303"/>
    <cellStyle name="Percent 10 2 63 10" xfId="14181"/>
    <cellStyle name="Percent 10 2 63 2" xfId="10514"/>
    <cellStyle name="Percent 10 2 63 3" xfId="10827"/>
    <cellStyle name="Percent 10 2 63 4" xfId="11111"/>
    <cellStyle name="Percent 10 2 63 5" xfId="11503"/>
    <cellStyle name="Percent 10 2 63 6" xfId="13456"/>
    <cellStyle name="Percent 10 2 63 7" xfId="12588"/>
    <cellStyle name="Percent 10 2 63 8" xfId="12158"/>
    <cellStyle name="Percent 10 2 63 9" xfId="13154"/>
    <cellStyle name="Percent 10 2 64" xfId="305"/>
    <cellStyle name="Percent 10 2 64 10" xfId="13167"/>
    <cellStyle name="Percent 10 2 64 2" xfId="10516"/>
    <cellStyle name="Percent 10 2 64 3" xfId="10829"/>
    <cellStyle name="Percent 10 2 64 4" xfId="11113"/>
    <cellStyle name="Percent 10 2 64 5" xfId="11505"/>
    <cellStyle name="Percent 10 2 64 6" xfId="12392"/>
    <cellStyle name="Percent 10 2 64 7" xfId="12844"/>
    <cellStyle name="Percent 10 2 64 8" xfId="12458"/>
    <cellStyle name="Percent 10 2 64 9" xfId="12529"/>
    <cellStyle name="Percent 10 2 65" xfId="308"/>
    <cellStyle name="Percent 10 2 65 10" xfId="32629"/>
    <cellStyle name="Percent 10 2 65 2" xfId="10519"/>
    <cellStyle name="Percent 10 2 65 3" xfId="10832"/>
    <cellStyle name="Percent 10 2 65 4" xfId="11116"/>
    <cellStyle name="Percent 10 2 65 5" xfId="11508"/>
    <cellStyle name="Percent 10 2 65 6" xfId="13839"/>
    <cellStyle name="Percent 10 2 65 7" xfId="17579"/>
    <cellStyle name="Percent 10 2 65 8" xfId="22674"/>
    <cellStyle name="Percent 10 2 65 9" xfId="27694"/>
    <cellStyle name="Percent 10 2 66" xfId="310"/>
    <cellStyle name="Percent 10 2 66 10" xfId="12628"/>
    <cellStyle name="Percent 10 2 66 2" xfId="10521"/>
    <cellStyle name="Percent 10 2 66 3" xfId="10834"/>
    <cellStyle name="Percent 10 2 66 4" xfId="11118"/>
    <cellStyle name="Percent 10 2 66 5" xfId="11510"/>
    <cellStyle name="Percent 10 2 66 6" xfId="13590"/>
    <cellStyle name="Percent 10 2 66 7" xfId="12144"/>
    <cellStyle name="Percent 10 2 66 8" xfId="12356"/>
    <cellStyle name="Percent 10 2 66 9" xfId="11966"/>
    <cellStyle name="Percent 10 2 67" xfId="313"/>
    <cellStyle name="Percent 10 2 67 10" xfId="12858"/>
    <cellStyle name="Percent 10 2 67 2" xfId="10524"/>
    <cellStyle name="Percent 10 2 67 3" xfId="10837"/>
    <cellStyle name="Percent 10 2 67 4" xfId="11121"/>
    <cellStyle name="Percent 10 2 67 5" xfId="11513"/>
    <cellStyle name="Percent 10 2 67 6" xfId="12337"/>
    <cellStyle name="Percent 10 2 67 7" xfId="13103"/>
    <cellStyle name="Percent 10 2 67 8" xfId="12280"/>
    <cellStyle name="Percent 10 2 67 9" xfId="12914"/>
    <cellStyle name="Percent 10 2 68" xfId="315"/>
    <cellStyle name="Percent 10 2 68 10" xfId="32695"/>
    <cellStyle name="Percent 10 2 68 2" xfId="10526"/>
    <cellStyle name="Percent 10 2 68 3" xfId="10839"/>
    <cellStyle name="Percent 10 2 68 4" xfId="11123"/>
    <cellStyle name="Percent 10 2 68 5" xfId="11515"/>
    <cellStyle name="Percent 10 2 68 6" xfId="14028"/>
    <cellStyle name="Percent 10 2 68 7" xfId="17746"/>
    <cellStyle name="Percent 10 2 68 8" xfId="22816"/>
    <cellStyle name="Percent 10 2 68 9" xfId="27807"/>
    <cellStyle name="Percent 10 2 69" xfId="317"/>
    <cellStyle name="Percent 10 2 69 10" xfId="32600"/>
    <cellStyle name="Percent 10 2 69 2" xfId="10528"/>
    <cellStyle name="Percent 10 2 69 3" xfId="10841"/>
    <cellStyle name="Percent 10 2 69 4" xfId="11125"/>
    <cellStyle name="Percent 10 2 69 5" xfId="11517"/>
    <cellStyle name="Percent 10 2 69 6" xfId="13765"/>
    <cellStyle name="Percent 10 2 69 7" xfId="17509"/>
    <cellStyle name="Percent 10 2 69 8" xfId="22614"/>
    <cellStyle name="Percent 10 2 69 9" xfId="27645"/>
    <cellStyle name="Percent 10 2 7" xfId="119"/>
    <cellStyle name="Percent 10 2 7 10" xfId="32688"/>
    <cellStyle name="Percent 10 2 7 2" xfId="10402"/>
    <cellStyle name="Percent 10 2 7 3" xfId="10715"/>
    <cellStyle name="Percent 10 2 7 4" xfId="10999"/>
    <cellStyle name="Percent 10 2 7 5" xfId="11323"/>
    <cellStyle name="Percent 10 2 7 6" xfId="14012"/>
    <cellStyle name="Percent 10 2 7 7" xfId="17731"/>
    <cellStyle name="Percent 10 2 7 8" xfId="22803"/>
    <cellStyle name="Percent 10 2 7 9" xfId="27796"/>
    <cellStyle name="Percent 10 2 70" xfId="319"/>
    <cellStyle name="Percent 10 2 70 10" xfId="12801"/>
    <cellStyle name="Percent 10 2 70 2" xfId="10530"/>
    <cellStyle name="Percent 10 2 70 3" xfId="10843"/>
    <cellStyle name="Percent 10 2 70 4" xfId="11127"/>
    <cellStyle name="Percent 10 2 70 5" xfId="11519"/>
    <cellStyle name="Percent 10 2 70 6" xfId="13453"/>
    <cellStyle name="Percent 10 2 70 7" xfId="12258"/>
    <cellStyle name="Percent 10 2 70 8" xfId="12266"/>
    <cellStyle name="Percent 10 2 70 9" xfId="12576"/>
    <cellStyle name="Percent 10 2 71" xfId="321"/>
    <cellStyle name="Percent 10 2 71 10" xfId="27637"/>
    <cellStyle name="Percent 10 2 71 2" xfId="10532"/>
    <cellStyle name="Percent 10 2 71 3" xfId="10845"/>
    <cellStyle name="Percent 10 2 71 4" xfId="11129"/>
    <cellStyle name="Percent 10 2 71 5" xfId="11521"/>
    <cellStyle name="Percent 10 2 71 6" xfId="12390"/>
    <cellStyle name="Percent 10 2 71 7" xfId="13742"/>
    <cellStyle name="Percent 10 2 71 8" xfId="17489"/>
    <cellStyle name="Percent 10 2 71 9" xfId="22599"/>
    <cellStyle name="Percent 10 2 72" xfId="323"/>
    <cellStyle name="Percent 10 2 72 10" xfId="32678"/>
    <cellStyle name="Percent 10 2 72 2" xfId="10534"/>
    <cellStyle name="Percent 10 2 72 3" xfId="10847"/>
    <cellStyle name="Percent 10 2 72 4" xfId="11131"/>
    <cellStyle name="Percent 10 2 72 5" xfId="11523"/>
    <cellStyle name="Percent 10 2 72 6" xfId="13984"/>
    <cellStyle name="Percent 10 2 72 7" xfId="17707"/>
    <cellStyle name="Percent 10 2 72 8" xfId="22783"/>
    <cellStyle name="Percent 10 2 72 9" xfId="27781"/>
    <cellStyle name="Percent 10 2 73" xfId="325"/>
    <cellStyle name="Percent 10 2 73 10" xfId="22870"/>
    <cellStyle name="Percent 10 2 73 2" xfId="10536"/>
    <cellStyle name="Percent 10 2 73 3" xfId="10849"/>
    <cellStyle name="Percent 10 2 73 4" xfId="11133"/>
    <cellStyle name="Percent 10 2 73 5" xfId="11525"/>
    <cellStyle name="Percent 10 2 73 6" xfId="12646"/>
    <cellStyle name="Percent 10 2 73 7" xfId="11971"/>
    <cellStyle name="Percent 10 2 73 8" xfId="14096"/>
    <cellStyle name="Percent 10 2 73 9" xfId="17808"/>
    <cellStyle name="Percent 10 2 74" xfId="327"/>
    <cellStyle name="Percent 10 2 74 10" xfId="11722"/>
    <cellStyle name="Percent 10 2 74 2" xfId="10538"/>
    <cellStyle name="Percent 10 2 74 3" xfId="10851"/>
    <cellStyle name="Percent 10 2 74 4" xfId="11135"/>
    <cellStyle name="Percent 10 2 74 5" xfId="11527"/>
    <cellStyle name="Percent 10 2 74 6" xfId="13419"/>
    <cellStyle name="Percent 10 2 74 7" xfId="12109"/>
    <cellStyle name="Percent 10 2 74 8" xfId="12415"/>
    <cellStyle name="Percent 10 2 74 9" xfId="12123"/>
    <cellStyle name="Percent 10 2 75" xfId="329"/>
    <cellStyle name="Percent 10 2 75 10" xfId="22926"/>
    <cellStyle name="Percent 10 2 75 2" xfId="10540"/>
    <cellStyle name="Percent 10 2 75 3" xfId="10853"/>
    <cellStyle name="Percent 10 2 75 4" xfId="11137"/>
    <cellStyle name="Percent 10 2 75 5" xfId="11529"/>
    <cellStyle name="Percent 10 2 75 6" xfId="12358"/>
    <cellStyle name="Percent 10 2 75 7" xfId="11923"/>
    <cellStyle name="Percent 10 2 75 8" xfId="14180"/>
    <cellStyle name="Percent 10 2 75 9" xfId="17882"/>
    <cellStyle name="Percent 10 2 76" xfId="330"/>
    <cellStyle name="Percent 10 2 76 10" xfId="17466"/>
    <cellStyle name="Percent 10 2 76 2" xfId="10541"/>
    <cellStyle name="Percent 10 2 76 3" xfId="10854"/>
    <cellStyle name="Percent 10 2 76 4" xfId="11138"/>
    <cellStyle name="Percent 10 2 76 5" xfId="11530"/>
    <cellStyle name="Percent 10 2 76 6" xfId="12096"/>
    <cellStyle name="Percent 10 2 76 7" xfId="13338"/>
    <cellStyle name="Percent 10 2 76 8" xfId="12617"/>
    <cellStyle name="Percent 10 2 76 9" xfId="13715"/>
    <cellStyle name="Percent 10 2 77" xfId="332"/>
    <cellStyle name="Percent 10 2 77 10" xfId="14066"/>
    <cellStyle name="Percent 10 2 77 2" xfId="10543"/>
    <cellStyle name="Percent 10 2 77 3" xfId="10856"/>
    <cellStyle name="Percent 10 2 77 4" xfId="11140"/>
    <cellStyle name="Percent 10 2 77 5" xfId="11532"/>
    <cellStyle name="Percent 10 2 77 6" xfId="12090"/>
    <cellStyle name="Percent 10 2 77 7" xfId="12878"/>
    <cellStyle name="Percent 10 2 77 8" xfId="11636"/>
    <cellStyle name="Percent 10 2 77 9" xfId="11775"/>
    <cellStyle name="Percent 10 2 78" xfId="335"/>
    <cellStyle name="Percent 10 2 78 10" xfId="22911"/>
    <cellStyle name="Percent 10 2 78 2" xfId="10546"/>
    <cellStyle name="Percent 10 2 78 3" xfId="10859"/>
    <cellStyle name="Percent 10 2 78 4" xfId="11143"/>
    <cellStyle name="Percent 10 2 78 5" xfId="11535"/>
    <cellStyle name="Percent 10 2 78 6" xfId="12124"/>
    <cellStyle name="Percent 10 2 78 7" xfId="11660"/>
    <cellStyle name="Percent 10 2 78 8" xfId="14159"/>
    <cellStyle name="Percent 10 2 78 9" xfId="17863"/>
    <cellStyle name="Percent 10 2 79" xfId="337"/>
    <cellStyle name="Percent 10 2 79 10" xfId="13243"/>
    <cellStyle name="Percent 10 2 79 2" xfId="10548"/>
    <cellStyle name="Percent 10 2 79 3" xfId="10861"/>
    <cellStyle name="Percent 10 2 79 4" xfId="11145"/>
    <cellStyle name="Percent 10 2 79 5" xfId="11537"/>
    <cellStyle name="Percent 10 2 79 6" xfId="12043"/>
    <cellStyle name="Percent 10 2 79 7" xfId="12275"/>
    <cellStyle name="Percent 10 2 79 8" xfId="13427"/>
    <cellStyle name="Percent 10 2 79 9" xfId="11712"/>
    <cellStyle name="Percent 10 2 8" xfId="145"/>
    <cellStyle name="Percent 10 2 8 10" xfId="11919"/>
    <cellStyle name="Percent 10 2 8 2" xfId="10404"/>
    <cellStyle name="Percent 10 2 8 3" xfId="10717"/>
    <cellStyle name="Percent 10 2 8 4" xfId="11001"/>
    <cellStyle name="Percent 10 2 8 5" xfId="11348"/>
    <cellStyle name="Percent 10 2 8 6" xfId="12924"/>
    <cellStyle name="Percent 10 2 8 7" xfId="11948"/>
    <cellStyle name="Percent 10 2 8 8" xfId="13297"/>
    <cellStyle name="Percent 10 2 8 9" xfId="12063"/>
    <cellStyle name="Percent 10 2 80" xfId="339"/>
    <cellStyle name="Percent 10 2 80 10" xfId="12130"/>
    <cellStyle name="Percent 10 2 80 2" xfId="10550"/>
    <cellStyle name="Percent 10 2 80 3" xfId="10863"/>
    <cellStyle name="Percent 10 2 80 4" xfId="11147"/>
    <cellStyle name="Percent 10 2 80 5" xfId="11539"/>
    <cellStyle name="Percent 10 2 80 6" xfId="11825"/>
    <cellStyle name="Percent 10 2 80 7" xfId="11646"/>
    <cellStyle name="Percent 10 2 80 8" xfId="11338"/>
    <cellStyle name="Percent 10 2 80 9" xfId="12762"/>
    <cellStyle name="Percent 10 2 81" xfId="341"/>
    <cellStyle name="Percent 10 2 81 10" xfId="12897"/>
    <cellStyle name="Percent 10 2 81 2" xfId="10552"/>
    <cellStyle name="Percent 10 2 81 3" xfId="10865"/>
    <cellStyle name="Percent 10 2 81 4" xfId="11149"/>
    <cellStyle name="Percent 10 2 81 5" xfId="11541"/>
    <cellStyle name="Percent 10 2 81 6" xfId="11765"/>
    <cellStyle name="Percent 10 2 81 7" xfId="11743"/>
    <cellStyle name="Percent 10 2 81 8" xfId="13447"/>
    <cellStyle name="Percent 10 2 81 9" xfId="13218"/>
    <cellStyle name="Percent 10 2 82" xfId="343"/>
    <cellStyle name="Percent 10 2 82 10" xfId="13721"/>
    <cellStyle name="Percent 10 2 82 2" xfId="10554"/>
    <cellStyle name="Percent 10 2 82 3" xfId="10867"/>
    <cellStyle name="Percent 10 2 82 4" xfId="11151"/>
    <cellStyle name="Percent 10 2 82 5" xfId="11543"/>
    <cellStyle name="Percent 10 2 82 6" xfId="11726"/>
    <cellStyle name="Percent 10 2 82 7" xfId="13110"/>
    <cellStyle name="Percent 10 2 82 8" xfId="12632"/>
    <cellStyle name="Percent 10 2 82 9" xfId="12880"/>
    <cellStyle name="Percent 10 2 83" xfId="344"/>
    <cellStyle name="Percent 10 2 83 10" xfId="27794"/>
    <cellStyle name="Percent 10 2 83 2" xfId="10555"/>
    <cellStyle name="Percent 10 2 83 3" xfId="10868"/>
    <cellStyle name="Percent 10 2 83 4" xfId="11152"/>
    <cellStyle name="Percent 10 2 83 5" xfId="11544"/>
    <cellStyle name="Percent 10 2 83 6" xfId="10693"/>
    <cellStyle name="Percent 10 2 83 7" xfId="14007"/>
    <cellStyle name="Percent 10 2 83 8" xfId="17727"/>
    <cellStyle name="Percent 10 2 83 9" xfId="22799"/>
    <cellStyle name="Percent 10 2 84" xfId="346"/>
    <cellStyle name="Percent 10 2 84 10" xfId="17551"/>
    <cellStyle name="Percent 10 2 84 2" xfId="10557"/>
    <cellStyle name="Percent 10 2 84 3" xfId="10870"/>
    <cellStyle name="Percent 10 2 84 4" xfId="11154"/>
    <cellStyle name="Percent 10 2 84 5" xfId="11546"/>
    <cellStyle name="Percent 10 2 84 6" xfId="12521"/>
    <cellStyle name="Percent 10 2 84 7" xfId="13144"/>
    <cellStyle name="Percent 10 2 84 8" xfId="13252"/>
    <cellStyle name="Percent 10 2 84 9" xfId="13810"/>
    <cellStyle name="Percent 10 2 85" xfId="347"/>
    <cellStyle name="Percent 10 2 85 10" xfId="12625"/>
    <cellStyle name="Percent 10 2 85 2" xfId="10558"/>
    <cellStyle name="Percent 10 2 85 3" xfId="10871"/>
    <cellStyle name="Percent 10 2 85 4" xfId="11155"/>
    <cellStyle name="Percent 10 2 85 5" xfId="11547"/>
    <cellStyle name="Percent 10 2 85 6" xfId="13062"/>
    <cellStyle name="Percent 10 2 85 7" xfId="11865"/>
    <cellStyle name="Percent 10 2 85 8" xfId="13433"/>
    <cellStyle name="Percent 10 2 85 9" xfId="13340"/>
    <cellStyle name="Percent 10 2 86" xfId="350"/>
    <cellStyle name="Percent 10 2 86 10" xfId="22873"/>
    <cellStyle name="Percent 10 2 86 2" xfId="10561"/>
    <cellStyle name="Percent 10 2 86 3" xfId="10874"/>
    <cellStyle name="Percent 10 2 86 4" xfId="11158"/>
    <cellStyle name="Percent 10 2 86 5" xfId="11550"/>
    <cellStyle name="Percent 10 2 86 6" xfId="12520"/>
    <cellStyle name="Percent 10 2 86 7" xfId="13389"/>
    <cellStyle name="Percent 10 2 86 8" xfId="14102"/>
    <cellStyle name="Percent 10 2 86 9" xfId="17812"/>
    <cellStyle name="Percent 10 2 87" xfId="352"/>
    <cellStyle name="Percent 10 2 87 10" xfId="22769"/>
    <cellStyle name="Percent 10 2 87 2" xfId="10563"/>
    <cellStyle name="Percent 10 2 87 3" xfId="10876"/>
    <cellStyle name="Percent 10 2 87 4" xfId="11160"/>
    <cellStyle name="Percent 10 2 87 5" xfId="11552"/>
    <cellStyle name="Percent 10 2 87 6" xfId="13031"/>
    <cellStyle name="Percent 10 2 87 7" xfId="12397"/>
    <cellStyle name="Percent 10 2 87 8" xfId="13967"/>
    <cellStyle name="Percent 10 2 87 9" xfId="17692"/>
    <cellStyle name="Percent 10 2 88" xfId="354"/>
    <cellStyle name="Percent 10 2 88 10" xfId="12273"/>
    <cellStyle name="Percent 10 2 88 2" xfId="10565"/>
    <cellStyle name="Percent 10 2 88 3" xfId="10878"/>
    <cellStyle name="Percent 10 2 88 4" xfId="11162"/>
    <cellStyle name="Percent 10 2 88 5" xfId="11554"/>
    <cellStyle name="Percent 10 2 88 6" xfId="12515"/>
    <cellStyle name="Percent 10 2 88 7" xfId="12815"/>
    <cellStyle name="Percent 10 2 88 8" xfId="11295"/>
    <cellStyle name="Percent 10 2 88 9" xfId="11264"/>
    <cellStyle name="Percent 10 2 89" xfId="355"/>
    <cellStyle name="Percent 10 2 89 10" xfId="11781"/>
    <cellStyle name="Percent 10 2 89 2" xfId="10566"/>
    <cellStyle name="Percent 10 2 89 3" xfId="10880"/>
    <cellStyle name="Percent 10 2 89 4" xfId="11164"/>
    <cellStyle name="Percent 10 2 89 5" xfId="11555"/>
    <cellStyle name="Percent 10 2 89 6" xfId="13056"/>
    <cellStyle name="Percent 10 2 89 7" xfId="11928"/>
    <cellStyle name="Percent 10 2 89 8" xfId="13468"/>
    <cellStyle name="Percent 10 2 89 9" xfId="12361"/>
    <cellStyle name="Percent 10 2 9" xfId="120"/>
    <cellStyle name="Percent 10 2 9 10" xfId="32641"/>
    <cellStyle name="Percent 10 2 9 2" xfId="10406"/>
    <cellStyle name="Percent 10 2 9 3" xfId="10719"/>
    <cellStyle name="Percent 10 2 9 4" xfId="11003"/>
    <cellStyle name="Percent 10 2 9 5" xfId="11324"/>
    <cellStyle name="Percent 10 2 9 6" xfId="13879"/>
    <cellStyle name="Percent 10 2 9 7" xfId="17614"/>
    <cellStyle name="Percent 10 2 9 8" xfId="22703"/>
    <cellStyle name="Percent 10 2 9 9" xfId="27716"/>
    <cellStyle name="Percent 10 2 90" xfId="356"/>
    <cellStyle name="Percent 10 2 90 10" xfId="22929"/>
    <cellStyle name="Percent 10 2 90 2" xfId="10567"/>
    <cellStyle name="Percent 10 2 90 3" xfId="10881"/>
    <cellStyle name="Percent 10 2 90 4" xfId="11165"/>
    <cellStyle name="Percent 10 2 90 5" xfId="11556"/>
    <cellStyle name="Percent 10 2 90 6" xfId="13029"/>
    <cellStyle name="Percent 10 2 90 7" xfId="13460"/>
    <cellStyle name="Percent 10 2 90 8" xfId="14184"/>
    <cellStyle name="Percent 10 2 90 9" xfId="17885"/>
    <cellStyle name="Percent 10 2 91" xfId="359"/>
    <cellStyle name="Percent 10 2 91 10" xfId="14086"/>
    <cellStyle name="Percent 10 2 91 2" xfId="10570"/>
    <cellStyle name="Percent 10 2 91 3" xfId="10884"/>
    <cellStyle name="Percent 10 2 91 4" xfId="11168"/>
    <cellStyle name="Percent 10 2 91 5" xfId="11559"/>
    <cellStyle name="Percent 10 2 91 6" xfId="13053"/>
    <cellStyle name="Percent 10 2 91 7" xfId="12136"/>
    <cellStyle name="Percent 10 2 91 8" xfId="12766"/>
    <cellStyle name="Percent 10 2 91 9" xfId="11840"/>
    <cellStyle name="Percent 10 2 92" xfId="360"/>
    <cellStyle name="Percent 10 2 92 10" xfId="27649"/>
    <cellStyle name="Percent 10 2 92 2" xfId="10571"/>
    <cellStyle name="Percent 10 2 92 3" xfId="10885"/>
    <cellStyle name="Percent 10 2 92 4" xfId="11169"/>
    <cellStyle name="Percent 10 2 92 5" xfId="11560"/>
    <cellStyle name="Percent 10 2 92 6" xfId="13026"/>
    <cellStyle name="Percent 10 2 92 7" xfId="13772"/>
    <cellStyle name="Percent 10 2 92 8" xfId="17515"/>
    <cellStyle name="Percent 10 2 92 9" xfId="22620"/>
    <cellStyle name="Percent 10 2 93" xfId="364"/>
    <cellStyle name="Percent 10 2 93 10" xfId="22581"/>
    <cellStyle name="Percent 10 2 93 2" xfId="10575"/>
    <cellStyle name="Percent 10 2 93 3" xfId="10889"/>
    <cellStyle name="Percent 10 2 93 4" xfId="11173"/>
    <cellStyle name="Percent 10 2 93 5" xfId="11564"/>
    <cellStyle name="Percent 10 2 93 6" xfId="11698"/>
    <cellStyle name="Percent 10 2 93 7" xfId="11794"/>
    <cellStyle name="Percent 10 2 93 8" xfId="13716"/>
    <cellStyle name="Percent 10 2 93 9" xfId="17467"/>
    <cellStyle name="Percent 10 2 94" xfId="366"/>
    <cellStyle name="Percent 10 2 94 10" xfId="12712"/>
    <cellStyle name="Percent 10 2 94 2" xfId="10577"/>
    <cellStyle name="Percent 10 2 94 3" xfId="10891"/>
    <cellStyle name="Percent 10 2 94 4" xfId="11175"/>
    <cellStyle name="Percent 10 2 94 5" xfId="11566"/>
    <cellStyle name="Percent 10 2 94 6" xfId="11735"/>
    <cellStyle name="Percent 10 2 94 7" xfId="13586"/>
    <cellStyle name="Percent 10 2 94 8" xfId="12159"/>
    <cellStyle name="Percent 10 2 94 9" xfId="12336"/>
    <cellStyle name="Percent 10 2 95" xfId="367"/>
    <cellStyle name="Percent 10 2 95 10" xfId="17523"/>
    <cellStyle name="Percent 10 2 95 2" xfId="10578"/>
    <cellStyle name="Percent 10 2 95 3" xfId="10892"/>
    <cellStyle name="Percent 10 2 95 4" xfId="11176"/>
    <cellStyle name="Percent 10 2 95 5" xfId="11567"/>
    <cellStyle name="Percent 10 2 95 6" xfId="11650"/>
    <cellStyle name="Percent 10 2 95 7" xfId="12809"/>
    <cellStyle name="Percent 10 2 95 8" xfId="12827"/>
    <cellStyle name="Percent 10 2 95 9" xfId="13780"/>
    <cellStyle name="Percent 10 2 96" xfId="368"/>
    <cellStyle name="Percent 10 2 96 10" xfId="32701"/>
    <cellStyle name="Percent 10 2 96 2" xfId="10579"/>
    <cellStyle name="Percent 10 2 96 3" xfId="10893"/>
    <cellStyle name="Percent 10 2 96 4" xfId="11177"/>
    <cellStyle name="Percent 10 2 96 5" xfId="11568"/>
    <cellStyle name="Percent 10 2 96 6" xfId="14048"/>
    <cellStyle name="Percent 10 2 96 7" xfId="17765"/>
    <cellStyle name="Percent 10 2 96 8" xfId="22832"/>
    <cellStyle name="Percent 10 2 96 9" xfId="27816"/>
    <cellStyle name="Percent 10 2 97" xfId="369"/>
    <cellStyle name="Percent 10 2 97 10" xfId="32659"/>
    <cellStyle name="Percent 10 2 97 2" xfId="10580"/>
    <cellStyle name="Percent 10 2 97 3" xfId="10894"/>
    <cellStyle name="Percent 10 2 97 4" xfId="11178"/>
    <cellStyle name="Percent 10 2 97 5" xfId="11569"/>
    <cellStyle name="Percent 10 2 97 6" xfId="13936"/>
    <cellStyle name="Percent 10 2 97 7" xfId="17665"/>
    <cellStyle name="Percent 10 2 97 8" xfId="22747"/>
    <cellStyle name="Percent 10 2 97 9" xfId="27751"/>
    <cellStyle name="Percent 10 2 98" xfId="372"/>
    <cellStyle name="Percent 10 2 98 10" xfId="11290"/>
    <cellStyle name="Percent 10 2 98 2" xfId="10583"/>
    <cellStyle name="Percent 10 2 98 3" xfId="10897"/>
    <cellStyle name="Percent 10 2 98 4" xfId="11181"/>
    <cellStyle name="Percent 10 2 98 5" xfId="11572"/>
    <cellStyle name="Percent 10 2 98 6" xfId="12765"/>
    <cellStyle name="Percent 10 2 98 7" xfId="11909"/>
    <cellStyle name="Percent 10 2 98 8" xfId="12835"/>
    <cellStyle name="Percent 10 2 98 9" xfId="13295"/>
    <cellStyle name="Percent 10 2 99" xfId="374"/>
    <cellStyle name="Percent 10 2 99 10" xfId="17583"/>
    <cellStyle name="Percent 10 2 99 2" xfId="10585"/>
    <cellStyle name="Percent 10 2 99 3" xfId="10899"/>
    <cellStyle name="Percent 10 2 99 4" xfId="11183"/>
    <cellStyle name="Percent 10 2 99 5" xfId="11574"/>
    <cellStyle name="Percent 10 2 99 6" xfId="13120"/>
    <cellStyle name="Percent 10 2 99 7" xfId="11907"/>
    <cellStyle name="Percent 10 2 99 8" xfId="13431"/>
    <cellStyle name="Percent 10 2 99 9" xfId="13844"/>
    <cellStyle name="Percent 2" xfId="4728"/>
    <cellStyle name="Percent 3" xfId="4732"/>
    <cellStyle name="Percent 4" xfId="349"/>
    <cellStyle name="Percent 4 10" xfId="12202"/>
    <cellStyle name="Percent 4 2" xfId="10560"/>
    <cellStyle name="Percent 4 3" xfId="10873"/>
    <cellStyle name="Percent 4 4" xfId="11157"/>
    <cellStyle name="Percent 4 5" xfId="11549"/>
    <cellStyle name="Percent 4 6" xfId="12236"/>
    <cellStyle name="Percent 4 7" xfId="10683"/>
    <cellStyle name="Percent 4 8" xfId="12693"/>
    <cellStyle name="Percent 4 9" xfId="12867"/>
    <cellStyle name="Percent 6" xfId="4172"/>
    <cellStyle name="Percent 6 10" xfId="4713"/>
    <cellStyle name="Percent 6 10 2" xfId="6588"/>
    <cellStyle name="Percent 6 10 3" xfId="18706"/>
    <cellStyle name="Percent 6 10 4" xfId="23749"/>
    <cellStyle name="Percent 6 10 5" xfId="28710"/>
    <cellStyle name="Percent 6 10 6" xfId="33568"/>
    <cellStyle name="Percent 6 10 7" xfId="38299"/>
    <cellStyle name="Percent 6 11" xfId="4930"/>
    <cellStyle name="Percent 6 11 2" xfId="6598"/>
    <cellStyle name="Percent 6 11 3" xfId="18716"/>
    <cellStyle name="Percent 6 11 4" xfId="23759"/>
    <cellStyle name="Percent 6 11 5" xfId="28720"/>
    <cellStyle name="Percent 6 11 6" xfId="33578"/>
    <cellStyle name="Percent 6 11 7" xfId="38309"/>
    <cellStyle name="Percent 6 12" xfId="4940"/>
    <cellStyle name="Percent 6 12 2" xfId="6608"/>
    <cellStyle name="Percent 6 12 3" xfId="18726"/>
    <cellStyle name="Percent 6 12 4" xfId="23769"/>
    <cellStyle name="Percent 6 12 5" xfId="28730"/>
    <cellStyle name="Percent 6 12 6" xfId="33588"/>
    <cellStyle name="Percent 6 12 7" xfId="38319"/>
    <cellStyle name="Percent 6 13" xfId="4950"/>
    <cellStyle name="Percent 6 13 2" xfId="6618"/>
    <cellStyle name="Percent 6 13 3" xfId="18736"/>
    <cellStyle name="Percent 6 13 4" xfId="23779"/>
    <cellStyle name="Percent 6 13 5" xfId="28740"/>
    <cellStyle name="Percent 6 13 6" xfId="33598"/>
    <cellStyle name="Percent 6 13 7" xfId="38329"/>
    <cellStyle name="Percent 6 14" xfId="4958"/>
    <cellStyle name="Percent 6 14 2" xfId="6628"/>
    <cellStyle name="Percent 6 14 3" xfId="18746"/>
    <cellStyle name="Percent 6 14 4" xfId="23789"/>
    <cellStyle name="Percent 6 14 5" xfId="28750"/>
    <cellStyle name="Percent 6 14 6" xfId="33608"/>
    <cellStyle name="Percent 6 14 7" xfId="38339"/>
    <cellStyle name="Percent 6 15" xfId="5150"/>
    <cellStyle name="Percent 6 15 2" xfId="6638"/>
    <cellStyle name="Percent 6 15 3" xfId="18756"/>
    <cellStyle name="Percent 6 15 4" xfId="23799"/>
    <cellStyle name="Percent 6 15 5" xfId="28760"/>
    <cellStyle name="Percent 6 15 6" xfId="33618"/>
    <cellStyle name="Percent 6 15 7" xfId="38349"/>
    <cellStyle name="Percent 6 16" xfId="5160"/>
    <cellStyle name="Percent 6 16 2" xfId="6648"/>
    <cellStyle name="Percent 6 16 3" xfId="18766"/>
    <cellStyle name="Percent 6 16 4" xfId="23809"/>
    <cellStyle name="Percent 6 16 5" xfId="28770"/>
    <cellStyle name="Percent 6 16 6" xfId="33628"/>
    <cellStyle name="Percent 6 16 7" xfId="38359"/>
    <cellStyle name="Percent 6 17" xfId="5170"/>
    <cellStyle name="Percent 6 17 2" xfId="6656"/>
    <cellStyle name="Percent 6 17 3" xfId="18774"/>
    <cellStyle name="Percent 6 17 4" xfId="23817"/>
    <cellStyle name="Percent 6 17 5" xfId="28778"/>
    <cellStyle name="Percent 6 17 6" xfId="33636"/>
    <cellStyle name="Percent 6 17 7" xfId="38367"/>
    <cellStyle name="Percent 6 18" xfId="5178"/>
    <cellStyle name="Percent 6 18 2" xfId="6846"/>
    <cellStyle name="Percent 6 18 3" xfId="18967"/>
    <cellStyle name="Percent 6 18 4" xfId="24010"/>
    <cellStyle name="Percent 6 18 5" xfId="28971"/>
    <cellStyle name="Percent 6 18 6" xfId="33829"/>
    <cellStyle name="Percent 6 18 7" xfId="38560"/>
    <cellStyle name="Percent 6 19" xfId="5601"/>
    <cellStyle name="Percent 6 19 2" xfId="6856"/>
    <cellStyle name="Percent 6 19 3" xfId="18977"/>
    <cellStyle name="Percent 6 19 4" xfId="24020"/>
    <cellStyle name="Percent 6 19 5" xfId="28981"/>
    <cellStyle name="Percent 6 19 6" xfId="33839"/>
    <cellStyle name="Percent 6 19 7" xfId="38570"/>
    <cellStyle name="Percent 6 2" xfId="4359"/>
    <cellStyle name="Percent 6 2 2" xfId="5799"/>
    <cellStyle name="Percent 6 2 3" xfId="18603"/>
    <cellStyle name="Percent 6 2 4" xfId="23646"/>
    <cellStyle name="Percent 6 2 5" xfId="28607"/>
    <cellStyle name="Percent 6 2 6" xfId="33465"/>
    <cellStyle name="Percent 6 2 7" xfId="38196"/>
    <cellStyle name="Percent 6 20" xfId="5612"/>
    <cellStyle name="Percent 6 20 2" xfId="6866"/>
    <cellStyle name="Percent 6 20 3" xfId="18987"/>
    <cellStyle name="Percent 6 20 4" xfId="24030"/>
    <cellStyle name="Percent 6 20 5" xfId="28991"/>
    <cellStyle name="Percent 6 20 6" xfId="33849"/>
    <cellStyle name="Percent 6 20 7" xfId="38580"/>
    <cellStyle name="Percent 6 21" xfId="5622"/>
    <cellStyle name="Percent 6 21 2" xfId="6874"/>
    <cellStyle name="Percent 6 21 3" xfId="18995"/>
    <cellStyle name="Percent 6 21 4" xfId="24038"/>
    <cellStyle name="Percent 6 21 5" xfId="28999"/>
    <cellStyle name="Percent 6 21 6" xfId="33857"/>
    <cellStyle name="Percent 6 21 7" xfId="38588"/>
    <cellStyle name="Percent 6 22" xfId="5632"/>
    <cellStyle name="Percent 6 22 2" xfId="7370"/>
    <cellStyle name="Percent 6 22 3" xfId="19543"/>
    <cellStyle name="Percent 6 22 4" xfId="24586"/>
    <cellStyle name="Percent 6 22 5" xfId="29547"/>
    <cellStyle name="Percent 6 22 6" xfId="34405"/>
    <cellStyle name="Percent 6 22 7" xfId="39136"/>
    <cellStyle name="Percent 6 23" xfId="5642"/>
    <cellStyle name="Percent 6 23 2" xfId="7382"/>
    <cellStyle name="Percent 6 23 3" xfId="19555"/>
    <cellStyle name="Percent 6 23 4" xfId="24598"/>
    <cellStyle name="Percent 6 23 5" xfId="29559"/>
    <cellStyle name="Percent 6 23 6" xfId="34417"/>
    <cellStyle name="Percent 6 23 7" xfId="39148"/>
    <cellStyle name="Percent 6 24" xfId="5652"/>
    <cellStyle name="Percent 6 24 2" xfId="7394"/>
    <cellStyle name="Percent 6 24 3" xfId="19567"/>
    <cellStyle name="Percent 6 24 4" xfId="24610"/>
    <cellStyle name="Percent 6 24 5" xfId="29571"/>
    <cellStyle name="Percent 6 24 6" xfId="34429"/>
    <cellStyle name="Percent 6 24 7" xfId="39160"/>
    <cellStyle name="Percent 6 25" xfId="5662"/>
    <cellStyle name="Percent 6 25 2" xfId="7405"/>
    <cellStyle name="Percent 6 25 3" xfId="19578"/>
    <cellStyle name="Percent 6 25 4" xfId="24621"/>
    <cellStyle name="Percent 6 25 5" xfId="29582"/>
    <cellStyle name="Percent 6 25 6" xfId="34440"/>
    <cellStyle name="Percent 6 25 7" xfId="39171"/>
    <cellStyle name="Percent 6 26" xfId="5672"/>
    <cellStyle name="Percent 6 26 2" xfId="7415"/>
    <cellStyle name="Percent 6 26 3" xfId="19588"/>
    <cellStyle name="Percent 6 26 4" xfId="24631"/>
    <cellStyle name="Percent 6 26 5" xfId="29592"/>
    <cellStyle name="Percent 6 26 6" xfId="34450"/>
    <cellStyle name="Percent 6 26 7" xfId="39181"/>
    <cellStyle name="Percent 6 27" xfId="5680"/>
    <cellStyle name="Percent 6 27 2" xfId="7423"/>
    <cellStyle name="Percent 6 27 3" xfId="19598"/>
    <cellStyle name="Percent 6 27 4" xfId="24641"/>
    <cellStyle name="Percent 6 27 5" xfId="29602"/>
    <cellStyle name="Percent 6 27 6" xfId="34460"/>
    <cellStyle name="Percent 6 27 7" xfId="39191"/>
    <cellStyle name="Percent 6 28" xfId="5690"/>
    <cellStyle name="Percent 6 28 2" xfId="14491"/>
    <cellStyle name="Percent 6 28 3" xfId="19608"/>
    <cellStyle name="Percent 6 28 4" xfId="24651"/>
    <cellStyle name="Percent 6 28 5" xfId="29612"/>
    <cellStyle name="Percent 6 28 6" xfId="34470"/>
    <cellStyle name="Percent 6 28 7" xfId="39201"/>
    <cellStyle name="Percent 6 29" xfId="5704"/>
    <cellStyle name="Percent 6 29 2" xfId="14501"/>
    <cellStyle name="Percent 6 29 3" xfId="19618"/>
    <cellStyle name="Percent 6 29 4" xfId="24661"/>
    <cellStyle name="Percent 6 29 5" xfId="29622"/>
    <cellStyle name="Percent 6 29 6" xfId="34480"/>
    <cellStyle name="Percent 6 29 7" xfId="39211"/>
    <cellStyle name="Percent 6 3" xfId="4367"/>
    <cellStyle name="Percent 6 3 2" xfId="6501"/>
    <cellStyle name="Percent 6 3 3" xfId="18619"/>
    <cellStyle name="Percent 6 3 4" xfId="23662"/>
    <cellStyle name="Percent 6 3 5" xfId="28623"/>
    <cellStyle name="Percent 6 3 6" xfId="33481"/>
    <cellStyle name="Percent 6 3 7" xfId="38212"/>
    <cellStyle name="Percent 6 30" xfId="7437"/>
    <cellStyle name="Percent 6 30 2" xfId="14511"/>
    <cellStyle name="Percent 6 30 3" xfId="19628"/>
    <cellStyle name="Percent 6 30 4" xfId="24671"/>
    <cellStyle name="Percent 6 30 5" xfId="29632"/>
    <cellStyle name="Percent 6 30 6" xfId="34490"/>
    <cellStyle name="Percent 6 30 7" xfId="39221"/>
    <cellStyle name="Percent 6 31" xfId="7447"/>
    <cellStyle name="Percent 6 31 2" xfId="14521"/>
    <cellStyle name="Percent 6 31 3" xfId="19638"/>
    <cellStyle name="Percent 6 31 4" xfId="24681"/>
    <cellStyle name="Percent 6 31 5" xfId="29642"/>
    <cellStyle name="Percent 6 31 6" xfId="34500"/>
    <cellStyle name="Percent 6 31 7" xfId="39231"/>
    <cellStyle name="Percent 6 32" xfId="7457"/>
    <cellStyle name="Percent 6 32 2" xfId="14531"/>
    <cellStyle name="Percent 6 32 3" xfId="19648"/>
    <cellStyle name="Percent 6 32 4" xfId="24691"/>
    <cellStyle name="Percent 6 32 5" xfId="29652"/>
    <cellStyle name="Percent 6 32 6" xfId="34510"/>
    <cellStyle name="Percent 6 32 7" xfId="39241"/>
    <cellStyle name="Percent 6 33" xfId="7465"/>
    <cellStyle name="Percent 6 33 2" xfId="14539"/>
    <cellStyle name="Percent 6 33 3" xfId="19656"/>
    <cellStyle name="Percent 6 33 4" xfId="24699"/>
    <cellStyle name="Percent 6 33 5" xfId="29660"/>
    <cellStyle name="Percent 6 33 6" xfId="34518"/>
    <cellStyle name="Percent 6 33 7" xfId="39249"/>
    <cellStyle name="Percent 6 34" xfId="8092"/>
    <cellStyle name="Percent 6 34 2" xfId="15172"/>
    <cellStyle name="Percent 6 34 3" xfId="20289"/>
    <cellStyle name="Percent 6 34 4" xfId="25332"/>
    <cellStyle name="Percent 6 34 5" xfId="30293"/>
    <cellStyle name="Percent 6 34 6" xfId="35151"/>
    <cellStyle name="Percent 6 34 7" xfId="39882"/>
    <cellStyle name="Percent 6 35" xfId="8106"/>
    <cellStyle name="Percent 6 35 2" xfId="15186"/>
    <cellStyle name="Percent 6 35 3" xfId="20303"/>
    <cellStyle name="Percent 6 35 4" xfId="25346"/>
    <cellStyle name="Percent 6 35 5" xfId="30307"/>
    <cellStyle name="Percent 6 35 6" xfId="35165"/>
    <cellStyle name="Percent 6 35 7" xfId="39896"/>
    <cellStyle name="Percent 6 36" xfId="8119"/>
    <cellStyle name="Percent 6 36 2" xfId="15199"/>
    <cellStyle name="Percent 6 36 3" xfId="20316"/>
    <cellStyle name="Percent 6 36 4" xfId="25359"/>
    <cellStyle name="Percent 6 36 5" xfId="30320"/>
    <cellStyle name="Percent 6 36 6" xfId="35178"/>
    <cellStyle name="Percent 6 36 7" xfId="39909"/>
    <cellStyle name="Percent 6 37" xfId="8131"/>
    <cellStyle name="Percent 6 37 2" xfId="15211"/>
    <cellStyle name="Percent 6 37 3" xfId="20328"/>
    <cellStyle name="Percent 6 37 4" xfId="25371"/>
    <cellStyle name="Percent 6 37 5" xfId="30332"/>
    <cellStyle name="Percent 6 37 6" xfId="35190"/>
    <cellStyle name="Percent 6 37 7" xfId="39921"/>
    <cellStyle name="Percent 6 38" xfId="8143"/>
    <cellStyle name="Percent 6 38 2" xfId="15223"/>
    <cellStyle name="Percent 6 38 3" xfId="20340"/>
    <cellStyle name="Percent 6 38 4" xfId="25383"/>
    <cellStyle name="Percent 6 38 5" xfId="30344"/>
    <cellStyle name="Percent 6 38 6" xfId="35202"/>
    <cellStyle name="Percent 6 38 7" xfId="39933"/>
    <cellStyle name="Percent 6 39" xfId="8154"/>
    <cellStyle name="Percent 6 39 2" xfId="15234"/>
    <cellStyle name="Percent 6 39 3" xfId="20351"/>
    <cellStyle name="Percent 6 39 4" xfId="25394"/>
    <cellStyle name="Percent 6 39 5" xfId="30355"/>
    <cellStyle name="Percent 6 39 6" xfId="35213"/>
    <cellStyle name="Percent 6 39 7" xfId="39944"/>
    <cellStyle name="Percent 6 4" xfId="4375"/>
    <cellStyle name="Percent 6 4 2" xfId="6516"/>
    <cellStyle name="Percent 6 4 3" xfId="18634"/>
    <cellStyle name="Percent 6 4 4" xfId="23677"/>
    <cellStyle name="Percent 6 4 5" xfId="28638"/>
    <cellStyle name="Percent 6 4 6" xfId="33496"/>
    <cellStyle name="Percent 6 4 7" xfId="38227"/>
    <cellStyle name="Percent 6 40" xfId="8164"/>
    <cellStyle name="Percent 6 40 2" xfId="15244"/>
    <cellStyle name="Percent 6 40 3" xfId="20361"/>
    <cellStyle name="Percent 6 40 4" xfId="25404"/>
    <cellStyle name="Percent 6 40 5" xfId="30365"/>
    <cellStyle name="Percent 6 40 6" xfId="35223"/>
    <cellStyle name="Percent 6 40 7" xfId="39954"/>
    <cellStyle name="Percent 6 41" xfId="8174"/>
    <cellStyle name="Percent 6 41 2" xfId="15254"/>
    <cellStyle name="Percent 6 41 3" xfId="20371"/>
    <cellStyle name="Percent 6 41 4" xfId="25414"/>
    <cellStyle name="Percent 6 41 5" xfId="30375"/>
    <cellStyle name="Percent 6 41 6" xfId="35233"/>
    <cellStyle name="Percent 6 41 7" xfId="39964"/>
    <cellStyle name="Percent 6 42" xfId="8184"/>
    <cellStyle name="Percent 6 42 2" xfId="15264"/>
    <cellStyle name="Percent 6 42 3" xfId="20381"/>
    <cellStyle name="Percent 6 42 4" xfId="25424"/>
    <cellStyle name="Percent 6 42 5" xfId="30385"/>
    <cellStyle name="Percent 6 42 6" xfId="35243"/>
    <cellStyle name="Percent 6 42 7" xfId="39974"/>
    <cellStyle name="Percent 6 43" xfId="8194"/>
    <cellStyle name="Percent 6 43 2" xfId="15274"/>
    <cellStyle name="Percent 6 43 3" xfId="20391"/>
    <cellStyle name="Percent 6 43 4" xfId="25434"/>
    <cellStyle name="Percent 6 43 5" xfId="30395"/>
    <cellStyle name="Percent 6 43 6" xfId="35253"/>
    <cellStyle name="Percent 6 43 7" xfId="39984"/>
    <cellStyle name="Percent 6 44" xfId="8204"/>
    <cellStyle name="Percent 6 44 2" xfId="15284"/>
    <cellStyle name="Percent 6 44 3" xfId="20401"/>
    <cellStyle name="Percent 6 44 4" xfId="25444"/>
    <cellStyle name="Percent 6 44 5" xfId="30405"/>
    <cellStyle name="Percent 6 44 6" xfId="35263"/>
    <cellStyle name="Percent 6 44 7" xfId="39994"/>
    <cellStyle name="Percent 6 45" xfId="8214"/>
    <cellStyle name="Percent 6 45 2" xfId="15294"/>
    <cellStyle name="Percent 6 45 3" xfId="20411"/>
    <cellStyle name="Percent 6 45 4" xfId="25454"/>
    <cellStyle name="Percent 6 45 5" xfId="30415"/>
    <cellStyle name="Percent 6 45 6" xfId="35273"/>
    <cellStyle name="Percent 6 45 7" xfId="40004"/>
    <cellStyle name="Percent 6 46" xfId="8224"/>
    <cellStyle name="Percent 6 46 2" xfId="15304"/>
    <cellStyle name="Percent 6 46 3" xfId="20421"/>
    <cellStyle name="Percent 6 46 4" xfId="25464"/>
    <cellStyle name="Percent 6 46 5" xfId="30425"/>
    <cellStyle name="Percent 6 46 6" xfId="35283"/>
    <cellStyle name="Percent 6 46 7" xfId="40014"/>
    <cellStyle name="Percent 6 47" xfId="8232"/>
    <cellStyle name="Percent 6 47 2" xfId="15312"/>
    <cellStyle name="Percent 6 47 3" xfId="20429"/>
    <cellStyle name="Percent 6 47 4" xfId="25472"/>
    <cellStyle name="Percent 6 47 5" xfId="30433"/>
    <cellStyle name="Percent 6 47 6" xfId="35291"/>
    <cellStyle name="Percent 6 47 7" xfId="40022"/>
    <cellStyle name="Percent 6 48" xfId="8890"/>
    <cellStyle name="Percent 6 48 2" xfId="15971"/>
    <cellStyle name="Percent 6 48 3" xfId="21088"/>
    <cellStyle name="Percent 6 48 4" xfId="26131"/>
    <cellStyle name="Percent 6 48 5" xfId="31092"/>
    <cellStyle name="Percent 6 48 6" xfId="35950"/>
    <cellStyle name="Percent 6 48 7" xfId="40681"/>
    <cellStyle name="Percent 6 49" xfId="8903"/>
    <cellStyle name="Percent 6 49 2" xfId="15984"/>
    <cellStyle name="Percent 6 49 3" xfId="21101"/>
    <cellStyle name="Percent 6 49 4" xfId="26144"/>
    <cellStyle name="Percent 6 49 5" xfId="31105"/>
    <cellStyle name="Percent 6 49 6" xfId="35963"/>
    <cellStyle name="Percent 6 49 7" xfId="40694"/>
    <cellStyle name="Percent 6 5" xfId="4431"/>
    <cellStyle name="Percent 6 5 2" xfId="6530"/>
    <cellStyle name="Percent 6 5 3" xfId="18648"/>
    <cellStyle name="Percent 6 5 4" xfId="23691"/>
    <cellStyle name="Percent 6 5 5" xfId="28652"/>
    <cellStyle name="Percent 6 5 6" xfId="33510"/>
    <cellStyle name="Percent 6 5 7" xfId="38241"/>
    <cellStyle name="Percent 6 50" xfId="8917"/>
    <cellStyle name="Percent 6 50 2" xfId="15998"/>
    <cellStyle name="Percent 6 50 3" xfId="21115"/>
    <cellStyle name="Percent 6 50 4" xfId="26158"/>
    <cellStyle name="Percent 6 50 5" xfId="31119"/>
    <cellStyle name="Percent 6 50 6" xfId="35977"/>
    <cellStyle name="Percent 6 50 7" xfId="40708"/>
    <cellStyle name="Percent 6 51" xfId="8933"/>
    <cellStyle name="Percent 6 51 2" xfId="16014"/>
    <cellStyle name="Percent 6 51 3" xfId="21131"/>
    <cellStyle name="Percent 6 51 4" xfId="26174"/>
    <cellStyle name="Percent 6 51 5" xfId="31135"/>
    <cellStyle name="Percent 6 51 6" xfId="35993"/>
    <cellStyle name="Percent 6 51 7" xfId="40724"/>
    <cellStyle name="Percent 6 52" xfId="8948"/>
    <cellStyle name="Percent 6 52 2" xfId="16029"/>
    <cellStyle name="Percent 6 52 3" xfId="21146"/>
    <cellStyle name="Percent 6 52 4" xfId="26189"/>
    <cellStyle name="Percent 6 52 5" xfId="31150"/>
    <cellStyle name="Percent 6 52 6" xfId="36008"/>
    <cellStyle name="Percent 6 52 7" xfId="40739"/>
    <cellStyle name="Percent 6 53" xfId="8962"/>
    <cellStyle name="Percent 6 53 2" xfId="16043"/>
    <cellStyle name="Percent 6 53 3" xfId="21160"/>
    <cellStyle name="Percent 6 53 4" xfId="26203"/>
    <cellStyle name="Percent 6 53 5" xfId="31164"/>
    <cellStyle name="Percent 6 53 6" xfId="36022"/>
    <cellStyle name="Percent 6 53 7" xfId="40753"/>
    <cellStyle name="Percent 6 54" xfId="8976"/>
    <cellStyle name="Percent 6 54 2" xfId="16057"/>
    <cellStyle name="Percent 6 54 3" xfId="21174"/>
    <cellStyle name="Percent 6 54 4" xfId="26217"/>
    <cellStyle name="Percent 6 54 5" xfId="31178"/>
    <cellStyle name="Percent 6 54 6" xfId="36036"/>
    <cellStyle name="Percent 6 54 7" xfId="40767"/>
    <cellStyle name="Percent 6 55" xfId="8988"/>
    <cellStyle name="Percent 6 55 2" xfId="16069"/>
    <cellStyle name="Percent 6 55 3" xfId="21186"/>
    <cellStyle name="Percent 6 55 4" xfId="26229"/>
    <cellStyle name="Percent 6 55 5" xfId="31190"/>
    <cellStyle name="Percent 6 55 6" xfId="36048"/>
    <cellStyle name="Percent 6 55 7" xfId="40779"/>
    <cellStyle name="Percent 6 56" xfId="8998"/>
    <cellStyle name="Percent 6 56 2" xfId="16079"/>
    <cellStyle name="Percent 6 56 3" xfId="21196"/>
    <cellStyle name="Percent 6 56 4" xfId="26239"/>
    <cellStyle name="Percent 6 56 5" xfId="31200"/>
    <cellStyle name="Percent 6 56 6" xfId="36058"/>
    <cellStyle name="Percent 6 56 7" xfId="40789"/>
    <cellStyle name="Percent 6 57" xfId="9008"/>
    <cellStyle name="Percent 6 57 2" xfId="16089"/>
    <cellStyle name="Percent 6 57 3" xfId="21206"/>
    <cellStyle name="Percent 6 57 4" xfId="26249"/>
    <cellStyle name="Percent 6 57 5" xfId="31210"/>
    <cellStyle name="Percent 6 57 6" xfId="36068"/>
    <cellStyle name="Percent 6 57 7" xfId="40799"/>
    <cellStyle name="Percent 6 58" xfId="9018"/>
    <cellStyle name="Percent 6 58 2" xfId="16099"/>
    <cellStyle name="Percent 6 58 3" xfId="21216"/>
    <cellStyle name="Percent 6 58 4" xfId="26259"/>
    <cellStyle name="Percent 6 58 5" xfId="31220"/>
    <cellStyle name="Percent 6 58 6" xfId="36078"/>
    <cellStyle name="Percent 6 58 7" xfId="40809"/>
    <cellStyle name="Percent 6 59" xfId="9028"/>
    <cellStyle name="Percent 6 59 2" xfId="16109"/>
    <cellStyle name="Percent 6 59 3" xfId="21226"/>
    <cellStyle name="Percent 6 59 4" xfId="26269"/>
    <cellStyle name="Percent 6 59 5" xfId="31230"/>
    <cellStyle name="Percent 6 59 6" xfId="36088"/>
    <cellStyle name="Percent 6 59 7" xfId="40819"/>
    <cellStyle name="Percent 6 6" xfId="4487"/>
    <cellStyle name="Percent 6 6 2" xfId="6543"/>
    <cellStyle name="Percent 6 6 3" xfId="18661"/>
    <cellStyle name="Percent 6 6 4" xfId="23704"/>
    <cellStyle name="Percent 6 6 5" xfId="28665"/>
    <cellStyle name="Percent 6 6 6" xfId="33523"/>
    <cellStyle name="Percent 6 6 7" xfId="38254"/>
    <cellStyle name="Percent 6 60" xfId="9038"/>
    <cellStyle name="Percent 6 60 2" xfId="16119"/>
    <cellStyle name="Percent 6 60 3" xfId="21236"/>
    <cellStyle name="Percent 6 60 4" xfId="26279"/>
    <cellStyle name="Percent 6 60 5" xfId="31240"/>
    <cellStyle name="Percent 6 60 6" xfId="36098"/>
    <cellStyle name="Percent 6 60 7" xfId="40829"/>
    <cellStyle name="Percent 6 61" xfId="9048"/>
    <cellStyle name="Percent 6 61 2" xfId="16129"/>
    <cellStyle name="Percent 6 61 3" xfId="21246"/>
    <cellStyle name="Percent 6 61 4" xfId="26289"/>
    <cellStyle name="Percent 6 61 5" xfId="31250"/>
    <cellStyle name="Percent 6 61 6" xfId="36108"/>
    <cellStyle name="Percent 6 61 7" xfId="40839"/>
    <cellStyle name="Percent 6 62" xfId="9056"/>
    <cellStyle name="Percent 6 62 2" xfId="16137"/>
    <cellStyle name="Percent 6 62 3" xfId="21254"/>
    <cellStyle name="Percent 6 62 4" xfId="26297"/>
    <cellStyle name="Percent 6 62 5" xfId="31258"/>
    <cellStyle name="Percent 6 62 6" xfId="36116"/>
    <cellStyle name="Percent 6 62 7" xfId="40847"/>
    <cellStyle name="Percent 6 63" xfId="9603"/>
    <cellStyle name="Percent 6 63 2" xfId="16684"/>
    <cellStyle name="Percent 6 63 3" xfId="21801"/>
    <cellStyle name="Percent 6 63 4" xfId="26844"/>
    <cellStyle name="Percent 6 63 5" xfId="31805"/>
    <cellStyle name="Percent 6 63 6" xfId="36663"/>
    <cellStyle name="Percent 6 63 7" xfId="41394"/>
    <cellStyle name="Percent 6 64" xfId="9615"/>
    <cellStyle name="Percent 6 64 2" xfId="16696"/>
    <cellStyle name="Percent 6 64 3" xfId="21813"/>
    <cellStyle name="Percent 6 64 4" xfId="26856"/>
    <cellStyle name="Percent 6 64 5" xfId="31817"/>
    <cellStyle name="Percent 6 64 6" xfId="36675"/>
    <cellStyle name="Percent 6 64 7" xfId="41406"/>
    <cellStyle name="Percent 6 65" xfId="9627"/>
    <cellStyle name="Percent 6 65 2" xfId="16708"/>
    <cellStyle name="Percent 6 65 3" xfId="21825"/>
    <cellStyle name="Percent 6 65 4" xfId="26868"/>
    <cellStyle name="Percent 6 65 5" xfId="31829"/>
    <cellStyle name="Percent 6 65 6" xfId="36687"/>
    <cellStyle name="Percent 6 65 7" xfId="41418"/>
    <cellStyle name="Percent 6 66" xfId="9638"/>
    <cellStyle name="Percent 6 66 2" xfId="16719"/>
    <cellStyle name="Percent 6 66 3" xfId="21836"/>
    <cellStyle name="Percent 6 66 4" xfId="26879"/>
    <cellStyle name="Percent 6 66 5" xfId="31840"/>
    <cellStyle name="Percent 6 66 6" xfId="36698"/>
    <cellStyle name="Percent 6 66 7" xfId="41429"/>
    <cellStyle name="Percent 6 67" xfId="9648"/>
    <cellStyle name="Percent 6 67 2" xfId="16729"/>
    <cellStyle name="Percent 6 67 3" xfId="21846"/>
    <cellStyle name="Percent 6 67 4" xfId="26889"/>
    <cellStyle name="Percent 6 67 5" xfId="31850"/>
    <cellStyle name="Percent 6 67 6" xfId="36708"/>
    <cellStyle name="Percent 6 67 7" xfId="41439"/>
    <cellStyle name="Percent 6 68" xfId="9658"/>
    <cellStyle name="Percent 6 68 2" xfId="16739"/>
    <cellStyle name="Percent 6 68 3" xfId="21856"/>
    <cellStyle name="Percent 6 68 4" xfId="26899"/>
    <cellStyle name="Percent 6 68 5" xfId="31860"/>
    <cellStyle name="Percent 6 68 6" xfId="36718"/>
    <cellStyle name="Percent 6 68 7" xfId="41449"/>
    <cellStyle name="Percent 6 69" xfId="9668"/>
    <cellStyle name="Percent 6 69 2" xfId="16749"/>
    <cellStyle name="Percent 6 69 3" xfId="21866"/>
    <cellStyle name="Percent 6 69 4" xfId="26909"/>
    <cellStyle name="Percent 6 69 5" xfId="31870"/>
    <cellStyle name="Percent 6 69 6" xfId="36728"/>
    <cellStyle name="Percent 6 69 7" xfId="41459"/>
    <cellStyle name="Percent 6 7" xfId="4638"/>
    <cellStyle name="Percent 6 7 2" xfId="6555"/>
    <cellStyle name="Percent 6 7 3" xfId="18673"/>
    <cellStyle name="Percent 6 7 4" xfId="23716"/>
    <cellStyle name="Percent 6 7 5" xfId="28677"/>
    <cellStyle name="Percent 6 7 6" xfId="33535"/>
    <cellStyle name="Percent 6 7 7" xfId="38266"/>
    <cellStyle name="Percent 6 70" xfId="9678"/>
    <cellStyle name="Percent 6 70 2" xfId="16759"/>
    <cellStyle name="Percent 6 70 3" xfId="21876"/>
    <cellStyle name="Percent 6 70 4" xfId="26919"/>
    <cellStyle name="Percent 6 70 5" xfId="31880"/>
    <cellStyle name="Percent 6 70 6" xfId="36738"/>
    <cellStyle name="Percent 6 70 7" xfId="41469"/>
    <cellStyle name="Percent 6 71" xfId="9688"/>
    <cellStyle name="Percent 6 71 2" xfId="16769"/>
    <cellStyle name="Percent 6 71 3" xfId="21886"/>
    <cellStyle name="Percent 6 71 4" xfId="26929"/>
    <cellStyle name="Percent 6 71 5" xfId="31890"/>
    <cellStyle name="Percent 6 71 6" xfId="36748"/>
    <cellStyle name="Percent 6 71 7" xfId="41479"/>
    <cellStyle name="Percent 6 72" xfId="9698"/>
    <cellStyle name="Percent 6 72 2" xfId="16779"/>
    <cellStyle name="Percent 6 72 3" xfId="21896"/>
    <cellStyle name="Percent 6 72 4" xfId="26939"/>
    <cellStyle name="Percent 6 72 5" xfId="31900"/>
    <cellStyle name="Percent 6 72 6" xfId="36758"/>
    <cellStyle name="Percent 6 72 7" xfId="41489"/>
    <cellStyle name="Percent 6 73" xfId="9708"/>
    <cellStyle name="Percent 6 73 2" xfId="16789"/>
    <cellStyle name="Percent 6 73 3" xfId="21906"/>
    <cellStyle name="Percent 6 73 4" xfId="26949"/>
    <cellStyle name="Percent 6 73 5" xfId="31910"/>
    <cellStyle name="Percent 6 73 6" xfId="36768"/>
    <cellStyle name="Percent 6 73 7" xfId="41499"/>
    <cellStyle name="Percent 6 74" xfId="9716"/>
    <cellStyle name="Percent 6 74 2" xfId="16797"/>
    <cellStyle name="Percent 6 74 3" xfId="21914"/>
    <cellStyle name="Percent 6 74 4" xfId="26957"/>
    <cellStyle name="Percent 6 74 5" xfId="31918"/>
    <cellStyle name="Percent 6 74 6" xfId="36776"/>
    <cellStyle name="Percent 6 74 7" xfId="41507"/>
    <cellStyle name="Percent 6 75" xfId="9998"/>
    <cellStyle name="Percent 6 75 2" xfId="17079"/>
    <cellStyle name="Percent 6 75 3" xfId="22196"/>
    <cellStyle name="Percent 6 75 4" xfId="27239"/>
    <cellStyle name="Percent 6 75 5" xfId="32200"/>
    <cellStyle name="Percent 6 75 6" xfId="37058"/>
    <cellStyle name="Percent 6 75 7" xfId="41789"/>
    <cellStyle name="Percent 6 76" xfId="10008"/>
    <cellStyle name="Percent 6 76 2" xfId="17089"/>
    <cellStyle name="Percent 6 76 3" xfId="22206"/>
    <cellStyle name="Percent 6 76 4" xfId="27249"/>
    <cellStyle name="Percent 6 76 5" xfId="32210"/>
    <cellStyle name="Percent 6 76 6" xfId="37068"/>
    <cellStyle name="Percent 6 76 7" xfId="41799"/>
    <cellStyle name="Percent 6 77" xfId="10018"/>
    <cellStyle name="Percent 6 77 2" xfId="17099"/>
    <cellStyle name="Percent 6 77 3" xfId="22216"/>
    <cellStyle name="Percent 6 77 4" xfId="27259"/>
    <cellStyle name="Percent 6 77 5" xfId="32220"/>
    <cellStyle name="Percent 6 77 6" xfId="37078"/>
    <cellStyle name="Percent 6 77 7" xfId="41809"/>
    <cellStyle name="Percent 6 78" xfId="10028"/>
    <cellStyle name="Percent 6 78 2" xfId="17109"/>
    <cellStyle name="Percent 6 78 3" xfId="22226"/>
    <cellStyle name="Percent 6 78 4" xfId="27269"/>
    <cellStyle name="Percent 6 78 5" xfId="32230"/>
    <cellStyle name="Percent 6 78 6" xfId="37088"/>
    <cellStyle name="Percent 6 78 7" xfId="41819"/>
    <cellStyle name="Percent 6 79" xfId="10038"/>
    <cellStyle name="Percent 6 79 2" xfId="17119"/>
    <cellStyle name="Percent 6 79 3" xfId="22236"/>
    <cellStyle name="Percent 6 79 4" xfId="27279"/>
    <cellStyle name="Percent 6 79 5" xfId="32240"/>
    <cellStyle name="Percent 6 79 6" xfId="37098"/>
    <cellStyle name="Percent 6 79 7" xfId="41829"/>
    <cellStyle name="Percent 6 8" xfId="4646"/>
    <cellStyle name="Percent 6 8 2" xfId="6567"/>
    <cellStyle name="Percent 6 8 3" xfId="18685"/>
    <cellStyle name="Percent 6 8 4" xfId="23728"/>
    <cellStyle name="Percent 6 8 5" xfId="28689"/>
    <cellStyle name="Percent 6 8 6" xfId="33547"/>
    <cellStyle name="Percent 6 8 7" xfId="38278"/>
    <cellStyle name="Percent 6 80" xfId="10046"/>
    <cellStyle name="Percent 6 80 2" xfId="17127"/>
    <cellStyle name="Percent 6 80 3" xfId="22244"/>
    <cellStyle name="Percent 6 80 4" xfId="27287"/>
    <cellStyle name="Percent 6 80 5" xfId="32248"/>
    <cellStyle name="Percent 6 80 6" xfId="37106"/>
    <cellStyle name="Percent 6 80 7" xfId="41837"/>
    <cellStyle name="Percent 6 81" xfId="10328"/>
    <cellStyle name="Percent 6 81 2" xfId="17409"/>
    <cellStyle name="Percent 6 81 3" xfId="22526"/>
    <cellStyle name="Percent 6 81 4" xfId="27569"/>
    <cellStyle name="Percent 6 81 5" xfId="32530"/>
    <cellStyle name="Percent 6 81 6" xfId="37388"/>
    <cellStyle name="Percent 6 81 7" xfId="42119"/>
    <cellStyle name="Percent 6 82" xfId="10338"/>
    <cellStyle name="Percent 6 82 2" xfId="17419"/>
    <cellStyle name="Percent 6 82 3" xfId="22536"/>
    <cellStyle name="Percent 6 82 4" xfId="27579"/>
    <cellStyle name="Percent 6 82 5" xfId="32540"/>
    <cellStyle name="Percent 6 82 6" xfId="37398"/>
    <cellStyle name="Percent 6 82 7" xfId="42129"/>
    <cellStyle name="Percent 6 83" xfId="10348"/>
    <cellStyle name="Percent 6 83 2" xfId="17429"/>
    <cellStyle name="Percent 6 83 3" xfId="22546"/>
    <cellStyle name="Percent 6 83 4" xfId="27589"/>
    <cellStyle name="Percent 6 83 5" xfId="32550"/>
    <cellStyle name="Percent 6 83 6" xfId="37408"/>
    <cellStyle name="Percent 6 83 7" xfId="42139"/>
    <cellStyle name="Percent 6 84" xfId="10358"/>
    <cellStyle name="Percent 6 84 2" xfId="17439"/>
    <cellStyle name="Percent 6 84 3" xfId="22556"/>
    <cellStyle name="Percent 6 84 4" xfId="27599"/>
    <cellStyle name="Percent 6 84 5" xfId="32560"/>
    <cellStyle name="Percent 6 84 6" xfId="37418"/>
    <cellStyle name="Percent 6 84 7" xfId="42149"/>
    <cellStyle name="Percent 6 85" xfId="10368"/>
    <cellStyle name="Percent 6 85 2" xfId="17449"/>
    <cellStyle name="Percent 6 85 3" xfId="22566"/>
    <cellStyle name="Percent 6 85 4" xfId="27609"/>
    <cellStyle name="Percent 6 85 5" xfId="32570"/>
    <cellStyle name="Percent 6 85 6" xfId="37428"/>
    <cellStyle name="Percent 6 85 7" xfId="42159"/>
    <cellStyle name="Percent 6 86" xfId="10376"/>
    <cellStyle name="Percent 6 86 2" xfId="17457"/>
    <cellStyle name="Percent 6 86 3" xfId="22574"/>
    <cellStyle name="Percent 6 86 4" xfId="27617"/>
    <cellStyle name="Percent 6 86 5" xfId="32578"/>
    <cellStyle name="Percent 6 86 6" xfId="37436"/>
    <cellStyle name="Percent 6 86 7" xfId="42167"/>
    <cellStyle name="Percent 6 87" xfId="14194"/>
    <cellStyle name="Percent 6 88" xfId="17895"/>
    <cellStyle name="Percent 6 89" xfId="22938"/>
    <cellStyle name="Percent 6 9" xfId="4654"/>
    <cellStyle name="Percent 6 9 2" xfId="6578"/>
    <cellStyle name="Percent 6 9 3" xfId="18696"/>
    <cellStyle name="Percent 6 9 4" xfId="23739"/>
    <cellStyle name="Percent 6 9 5" xfId="28700"/>
    <cellStyle name="Percent 6 9 6" xfId="33558"/>
    <cellStyle name="Percent 6 9 7" xfId="38289"/>
    <cellStyle name="Percent 6 90" xfId="27899"/>
    <cellStyle name="Percent 6 91" xfId="32757"/>
    <cellStyle name="Percent 6 92" xfId="37488"/>
    <cellStyle name="Percent 9" xfId="4176"/>
    <cellStyle name="Percent 9 10" xfId="4717"/>
    <cellStyle name="Percent 9 10 2" xfId="6592"/>
    <cellStyle name="Percent 9 10 3" xfId="18710"/>
    <cellStyle name="Percent 9 10 4" xfId="23753"/>
    <cellStyle name="Percent 9 10 5" xfId="28714"/>
    <cellStyle name="Percent 9 10 6" xfId="33572"/>
    <cellStyle name="Percent 9 10 7" xfId="38303"/>
    <cellStyle name="Percent 9 11" xfId="4934"/>
    <cellStyle name="Percent 9 11 2" xfId="6602"/>
    <cellStyle name="Percent 9 11 3" xfId="18720"/>
    <cellStyle name="Percent 9 11 4" xfId="23763"/>
    <cellStyle name="Percent 9 11 5" xfId="28724"/>
    <cellStyle name="Percent 9 11 6" xfId="33582"/>
    <cellStyle name="Percent 9 11 7" xfId="38313"/>
    <cellStyle name="Percent 9 12" xfId="4944"/>
    <cellStyle name="Percent 9 12 2" xfId="6612"/>
    <cellStyle name="Percent 9 12 3" xfId="18730"/>
    <cellStyle name="Percent 9 12 4" xfId="23773"/>
    <cellStyle name="Percent 9 12 5" xfId="28734"/>
    <cellStyle name="Percent 9 12 6" xfId="33592"/>
    <cellStyle name="Percent 9 12 7" xfId="38323"/>
    <cellStyle name="Percent 9 13" xfId="4954"/>
    <cellStyle name="Percent 9 13 2" xfId="6622"/>
    <cellStyle name="Percent 9 13 3" xfId="18740"/>
    <cellStyle name="Percent 9 13 4" xfId="23783"/>
    <cellStyle name="Percent 9 13 5" xfId="28744"/>
    <cellStyle name="Percent 9 13 6" xfId="33602"/>
    <cellStyle name="Percent 9 13 7" xfId="38333"/>
    <cellStyle name="Percent 9 14" xfId="4962"/>
    <cellStyle name="Percent 9 14 2" xfId="6632"/>
    <cellStyle name="Percent 9 14 3" xfId="18750"/>
    <cellStyle name="Percent 9 14 4" xfId="23793"/>
    <cellStyle name="Percent 9 14 5" xfId="28754"/>
    <cellStyle name="Percent 9 14 6" xfId="33612"/>
    <cellStyle name="Percent 9 14 7" xfId="38343"/>
    <cellStyle name="Percent 9 15" xfId="5154"/>
    <cellStyle name="Percent 9 15 2" xfId="6642"/>
    <cellStyle name="Percent 9 15 3" xfId="18760"/>
    <cellStyle name="Percent 9 15 4" xfId="23803"/>
    <cellStyle name="Percent 9 15 5" xfId="28764"/>
    <cellStyle name="Percent 9 15 6" xfId="33622"/>
    <cellStyle name="Percent 9 15 7" xfId="38353"/>
    <cellStyle name="Percent 9 16" xfId="5164"/>
    <cellStyle name="Percent 9 16 2" xfId="6652"/>
    <cellStyle name="Percent 9 16 3" xfId="18770"/>
    <cellStyle name="Percent 9 16 4" xfId="23813"/>
    <cellStyle name="Percent 9 16 5" xfId="28774"/>
    <cellStyle name="Percent 9 16 6" xfId="33632"/>
    <cellStyle name="Percent 9 16 7" xfId="38363"/>
    <cellStyle name="Percent 9 17" xfId="5174"/>
    <cellStyle name="Percent 9 17 2" xfId="6660"/>
    <cellStyle name="Percent 9 17 3" xfId="18778"/>
    <cellStyle name="Percent 9 17 4" xfId="23821"/>
    <cellStyle name="Percent 9 17 5" xfId="28782"/>
    <cellStyle name="Percent 9 17 6" xfId="33640"/>
    <cellStyle name="Percent 9 17 7" xfId="38371"/>
    <cellStyle name="Percent 9 18" xfId="5182"/>
    <cellStyle name="Percent 9 18 2" xfId="6850"/>
    <cellStyle name="Percent 9 18 3" xfId="18971"/>
    <cellStyle name="Percent 9 18 4" xfId="24014"/>
    <cellStyle name="Percent 9 18 5" xfId="28975"/>
    <cellStyle name="Percent 9 18 6" xfId="33833"/>
    <cellStyle name="Percent 9 18 7" xfId="38564"/>
    <cellStyle name="Percent 9 19" xfId="5605"/>
    <cellStyle name="Percent 9 19 2" xfId="6860"/>
    <cellStyle name="Percent 9 19 3" xfId="18981"/>
    <cellStyle name="Percent 9 19 4" xfId="24024"/>
    <cellStyle name="Percent 9 19 5" xfId="28985"/>
    <cellStyle name="Percent 9 19 6" xfId="33843"/>
    <cellStyle name="Percent 9 19 7" xfId="38574"/>
    <cellStyle name="Percent 9 2" xfId="4363"/>
    <cellStyle name="Percent 9 2 2" xfId="5803"/>
    <cellStyle name="Percent 9 2 3" xfId="18607"/>
    <cellStyle name="Percent 9 2 4" xfId="23650"/>
    <cellStyle name="Percent 9 2 5" xfId="28611"/>
    <cellStyle name="Percent 9 2 6" xfId="33469"/>
    <cellStyle name="Percent 9 2 7" xfId="38200"/>
    <cellStyle name="Percent 9 20" xfId="5616"/>
    <cellStyle name="Percent 9 20 2" xfId="6870"/>
    <cellStyle name="Percent 9 20 3" xfId="18991"/>
    <cellStyle name="Percent 9 20 4" xfId="24034"/>
    <cellStyle name="Percent 9 20 5" xfId="28995"/>
    <cellStyle name="Percent 9 20 6" xfId="33853"/>
    <cellStyle name="Percent 9 20 7" xfId="38584"/>
    <cellStyle name="Percent 9 21" xfId="5626"/>
    <cellStyle name="Percent 9 21 2" xfId="6878"/>
    <cellStyle name="Percent 9 21 3" xfId="18999"/>
    <cellStyle name="Percent 9 21 4" xfId="24042"/>
    <cellStyle name="Percent 9 21 5" xfId="29003"/>
    <cellStyle name="Percent 9 21 6" xfId="33861"/>
    <cellStyle name="Percent 9 21 7" xfId="38592"/>
    <cellStyle name="Percent 9 22" xfId="5636"/>
    <cellStyle name="Percent 9 22 2" xfId="7374"/>
    <cellStyle name="Percent 9 22 3" xfId="19547"/>
    <cellStyle name="Percent 9 22 4" xfId="24590"/>
    <cellStyle name="Percent 9 22 5" xfId="29551"/>
    <cellStyle name="Percent 9 22 6" xfId="34409"/>
    <cellStyle name="Percent 9 22 7" xfId="39140"/>
    <cellStyle name="Percent 9 23" xfId="5646"/>
    <cellStyle name="Percent 9 23 2" xfId="7386"/>
    <cellStyle name="Percent 9 23 3" xfId="19559"/>
    <cellStyle name="Percent 9 23 4" xfId="24602"/>
    <cellStyle name="Percent 9 23 5" xfId="29563"/>
    <cellStyle name="Percent 9 23 6" xfId="34421"/>
    <cellStyle name="Percent 9 23 7" xfId="39152"/>
    <cellStyle name="Percent 9 24" xfId="5656"/>
    <cellStyle name="Percent 9 24 2" xfId="7398"/>
    <cellStyle name="Percent 9 24 3" xfId="19571"/>
    <cellStyle name="Percent 9 24 4" xfId="24614"/>
    <cellStyle name="Percent 9 24 5" xfId="29575"/>
    <cellStyle name="Percent 9 24 6" xfId="34433"/>
    <cellStyle name="Percent 9 24 7" xfId="39164"/>
    <cellStyle name="Percent 9 25" xfId="5666"/>
    <cellStyle name="Percent 9 25 2" xfId="7409"/>
    <cellStyle name="Percent 9 25 3" xfId="19582"/>
    <cellStyle name="Percent 9 25 4" xfId="24625"/>
    <cellStyle name="Percent 9 25 5" xfId="29586"/>
    <cellStyle name="Percent 9 25 6" xfId="34444"/>
    <cellStyle name="Percent 9 25 7" xfId="39175"/>
    <cellStyle name="Percent 9 26" xfId="5676"/>
    <cellStyle name="Percent 9 26 2" xfId="7419"/>
    <cellStyle name="Percent 9 26 3" xfId="19592"/>
    <cellStyle name="Percent 9 26 4" xfId="24635"/>
    <cellStyle name="Percent 9 26 5" xfId="29596"/>
    <cellStyle name="Percent 9 26 6" xfId="34454"/>
    <cellStyle name="Percent 9 26 7" xfId="39185"/>
    <cellStyle name="Percent 9 27" xfId="5684"/>
    <cellStyle name="Percent 9 27 2" xfId="7427"/>
    <cellStyle name="Percent 9 27 3" xfId="19602"/>
    <cellStyle name="Percent 9 27 4" xfId="24645"/>
    <cellStyle name="Percent 9 27 5" xfId="29606"/>
    <cellStyle name="Percent 9 27 6" xfId="34464"/>
    <cellStyle name="Percent 9 27 7" xfId="39195"/>
    <cellStyle name="Percent 9 28" xfId="5691"/>
    <cellStyle name="Percent 9 28 2" xfId="14495"/>
    <cellStyle name="Percent 9 28 3" xfId="19612"/>
    <cellStyle name="Percent 9 28 4" xfId="24655"/>
    <cellStyle name="Percent 9 28 5" xfId="29616"/>
    <cellStyle name="Percent 9 28 6" xfId="34474"/>
    <cellStyle name="Percent 9 28 7" xfId="39205"/>
    <cellStyle name="Percent 9 29" xfId="5703"/>
    <cellStyle name="Percent 9 29 2" xfId="14505"/>
    <cellStyle name="Percent 9 29 3" xfId="19622"/>
    <cellStyle name="Percent 9 29 4" xfId="24665"/>
    <cellStyle name="Percent 9 29 5" xfId="29626"/>
    <cellStyle name="Percent 9 29 6" xfId="34484"/>
    <cellStyle name="Percent 9 29 7" xfId="39215"/>
    <cellStyle name="Percent 9 3" xfId="4371"/>
    <cellStyle name="Percent 9 3 2" xfId="6505"/>
    <cellStyle name="Percent 9 3 3" xfId="18623"/>
    <cellStyle name="Percent 9 3 4" xfId="23666"/>
    <cellStyle name="Percent 9 3 5" xfId="28627"/>
    <cellStyle name="Percent 9 3 6" xfId="33485"/>
    <cellStyle name="Percent 9 3 7" xfId="38216"/>
    <cellStyle name="Percent 9 30" xfId="7441"/>
    <cellStyle name="Percent 9 30 2" xfId="14515"/>
    <cellStyle name="Percent 9 30 3" xfId="19632"/>
    <cellStyle name="Percent 9 30 4" xfId="24675"/>
    <cellStyle name="Percent 9 30 5" xfId="29636"/>
    <cellStyle name="Percent 9 30 6" xfId="34494"/>
    <cellStyle name="Percent 9 30 7" xfId="39225"/>
    <cellStyle name="Percent 9 31" xfId="7451"/>
    <cellStyle name="Percent 9 31 2" xfId="14525"/>
    <cellStyle name="Percent 9 31 3" xfId="19642"/>
    <cellStyle name="Percent 9 31 4" xfId="24685"/>
    <cellStyle name="Percent 9 31 5" xfId="29646"/>
    <cellStyle name="Percent 9 31 6" xfId="34504"/>
    <cellStyle name="Percent 9 31 7" xfId="39235"/>
    <cellStyle name="Percent 9 32" xfId="7461"/>
    <cellStyle name="Percent 9 32 2" xfId="14535"/>
    <cellStyle name="Percent 9 32 3" xfId="19652"/>
    <cellStyle name="Percent 9 32 4" xfId="24695"/>
    <cellStyle name="Percent 9 32 5" xfId="29656"/>
    <cellStyle name="Percent 9 32 6" xfId="34514"/>
    <cellStyle name="Percent 9 32 7" xfId="39245"/>
    <cellStyle name="Percent 9 33" xfId="7469"/>
    <cellStyle name="Percent 9 33 2" xfId="14543"/>
    <cellStyle name="Percent 9 33 3" xfId="19660"/>
    <cellStyle name="Percent 9 33 4" xfId="24703"/>
    <cellStyle name="Percent 9 33 5" xfId="29664"/>
    <cellStyle name="Percent 9 33 6" xfId="34522"/>
    <cellStyle name="Percent 9 33 7" xfId="39253"/>
    <cellStyle name="Percent 9 34" xfId="8096"/>
    <cellStyle name="Percent 9 34 2" xfId="15176"/>
    <cellStyle name="Percent 9 34 3" xfId="20293"/>
    <cellStyle name="Percent 9 34 4" xfId="25336"/>
    <cellStyle name="Percent 9 34 5" xfId="30297"/>
    <cellStyle name="Percent 9 34 6" xfId="35155"/>
    <cellStyle name="Percent 9 34 7" xfId="39886"/>
    <cellStyle name="Percent 9 35" xfId="8110"/>
    <cellStyle name="Percent 9 35 2" xfId="15190"/>
    <cellStyle name="Percent 9 35 3" xfId="20307"/>
    <cellStyle name="Percent 9 35 4" xfId="25350"/>
    <cellStyle name="Percent 9 35 5" xfId="30311"/>
    <cellStyle name="Percent 9 35 6" xfId="35169"/>
    <cellStyle name="Percent 9 35 7" xfId="39900"/>
    <cellStyle name="Percent 9 36" xfId="8123"/>
    <cellStyle name="Percent 9 36 2" xfId="15203"/>
    <cellStyle name="Percent 9 36 3" xfId="20320"/>
    <cellStyle name="Percent 9 36 4" xfId="25363"/>
    <cellStyle name="Percent 9 36 5" xfId="30324"/>
    <cellStyle name="Percent 9 36 6" xfId="35182"/>
    <cellStyle name="Percent 9 36 7" xfId="39913"/>
    <cellStyle name="Percent 9 37" xfId="8135"/>
    <cellStyle name="Percent 9 37 2" xfId="15215"/>
    <cellStyle name="Percent 9 37 3" xfId="20332"/>
    <cellStyle name="Percent 9 37 4" xfId="25375"/>
    <cellStyle name="Percent 9 37 5" xfId="30336"/>
    <cellStyle name="Percent 9 37 6" xfId="35194"/>
    <cellStyle name="Percent 9 37 7" xfId="39925"/>
    <cellStyle name="Percent 9 38" xfId="8147"/>
    <cellStyle name="Percent 9 38 2" xfId="15227"/>
    <cellStyle name="Percent 9 38 3" xfId="20344"/>
    <cellStyle name="Percent 9 38 4" xfId="25387"/>
    <cellStyle name="Percent 9 38 5" xfId="30348"/>
    <cellStyle name="Percent 9 38 6" xfId="35206"/>
    <cellStyle name="Percent 9 38 7" xfId="39937"/>
    <cellStyle name="Percent 9 39" xfId="8158"/>
    <cellStyle name="Percent 9 39 2" xfId="15238"/>
    <cellStyle name="Percent 9 39 3" xfId="20355"/>
    <cellStyle name="Percent 9 39 4" xfId="25398"/>
    <cellStyle name="Percent 9 39 5" xfId="30359"/>
    <cellStyle name="Percent 9 39 6" xfId="35217"/>
    <cellStyle name="Percent 9 39 7" xfId="39948"/>
    <cellStyle name="Percent 9 4" xfId="4379"/>
    <cellStyle name="Percent 9 4 2" xfId="6520"/>
    <cellStyle name="Percent 9 4 3" xfId="18638"/>
    <cellStyle name="Percent 9 4 4" xfId="23681"/>
    <cellStyle name="Percent 9 4 5" xfId="28642"/>
    <cellStyle name="Percent 9 4 6" xfId="33500"/>
    <cellStyle name="Percent 9 4 7" xfId="38231"/>
    <cellStyle name="Percent 9 40" xfId="8168"/>
    <cellStyle name="Percent 9 40 2" xfId="15248"/>
    <cellStyle name="Percent 9 40 3" xfId="20365"/>
    <cellStyle name="Percent 9 40 4" xfId="25408"/>
    <cellStyle name="Percent 9 40 5" xfId="30369"/>
    <cellStyle name="Percent 9 40 6" xfId="35227"/>
    <cellStyle name="Percent 9 40 7" xfId="39958"/>
    <cellStyle name="Percent 9 41" xfId="8178"/>
    <cellStyle name="Percent 9 41 2" xfId="15258"/>
    <cellStyle name="Percent 9 41 3" xfId="20375"/>
    <cellStyle name="Percent 9 41 4" xfId="25418"/>
    <cellStyle name="Percent 9 41 5" xfId="30379"/>
    <cellStyle name="Percent 9 41 6" xfId="35237"/>
    <cellStyle name="Percent 9 41 7" xfId="39968"/>
    <cellStyle name="Percent 9 42" xfId="8188"/>
    <cellStyle name="Percent 9 42 2" xfId="15268"/>
    <cellStyle name="Percent 9 42 3" xfId="20385"/>
    <cellStyle name="Percent 9 42 4" xfId="25428"/>
    <cellStyle name="Percent 9 42 5" xfId="30389"/>
    <cellStyle name="Percent 9 42 6" xfId="35247"/>
    <cellStyle name="Percent 9 42 7" xfId="39978"/>
    <cellStyle name="Percent 9 43" xfId="8198"/>
    <cellStyle name="Percent 9 43 2" xfId="15278"/>
    <cellStyle name="Percent 9 43 3" xfId="20395"/>
    <cellStyle name="Percent 9 43 4" xfId="25438"/>
    <cellStyle name="Percent 9 43 5" xfId="30399"/>
    <cellStyle name="Percent 9 43 6" xfId="35257"/>
    <cellStyle name="Percent 9 43 7" xfId="39988"/>
    <cellStyle name="Percent 9 44" xfId="8208"/>
    <cellStyle name="Percent 9 44 2" xfId="15288"/>
    <cellStyle name="Percent 9 44 3" xfId="20405"/>
    <cellStyle name="Percent 9 44 4" xfId="25448"/>
    <cellStyle name="Percent 9 44 5" xfId="30409"/>
    <cellStyle name="Percent 9 44 6" xfId="35267"/>
    <cellStyle name="Percent 9 44 7" xfId="39998"/>
    <cellStyle name="Percent 9 45" xfId="8218"/>
    <cellStyle name="Percent 9 45 2" xfId="15298"/>
    <cellStyle name="Percent 9 45 3" xfId="20415"/>
    <cellStyle name="Percent 9 45 4" xfId="25458"/>
    <cellStyle name="Percent 9 45 5" xfId="30419"/>
    <cellStyle name="Percent 9 45 6" xfId="35277"/>
    <cellStyle name="Percent 9 45 7" xfId="40008"/>
    <cellStyle name="Percent 9 46" xfId="8228"/>
    <cellStyle name="Percent 9 46 2" xfId="15308"/>
    <cellStyle name="Percent 9 46 3" xfId="20425"/>
    <cellStyle name="Percent 9 46 4" xfId="25468"/>
    <cellStyle name="Percent 9 46 5" xfId="30429"/>
    <cellStyle name="Percent 9 46 6" xfId="35287"/>
    <cellStyle name="Percent 9 46 7" xfId="40018"/>
    <cellStyle name="Percent 9 47" xfId="8236"/>
    <cellStyle name="Percent 9 47 2" xfId="15316"/>
    <cellStyle name="Percent 9 47 3" xfId="20433"/>
    <cellStyle name="Percent 9 47 4" xfId="25476"/>
    <cellStyle name="Percent 9 47 5" xfId="30437"/>
    <cellStyle name="Percent 9 47 6" xfId="35295"/>
    <cellStyle name="Percent 9 47 7" xfId="40026"/>
    <cellStyle name="Percent 9 48" xfId="8894"/>
    <cellStyle name="Percent 9 48 2" xfId="15975"/>
    <cellStyle name="Percent 9 48 3" xfId="21092"/>
    <cellStyle name="Percent 9 48 4" xfId="26135"/>
    <cellStyle name="Percent 9 48 5" xfId="31096"/>
    <cellStyle name="Percent 9 48 6" xfId="35954"/>
    <cellStyle name="Percent 9 48 7" xfId="40685"/>
    <cellStyle name="Percent 9 49" xfId="8907"/>
    <cellStyle name="Percent 9 49 2" xfId="15988"/>
    <cellStyle name="Percent 9 49 3" xfId="21105"/>
    <cellStyle name="Percent 9 49 4" xfId="26148"/>
    <cellStyle name="Percent 9 49 5" xfId="31109"/>
    <cellStyle name="Percent 9 49 6" xfId="35967"/>
    <cellStyle name="Percent 9 49 7" xfId="40698"/>
    <cellStyle name="Percent 9 5" xfId="4435"/>
    <cellStyle name="Percent 9 5 2" xfId="6534"/>
    <cellStyle name="Percent 9 5 3" xfId="18652"/>
    <cellStyle name="Percent 9 5 4" xfId="23695"/>
    <cellStyle name="Percent 9 5 5" xfId="28656"/>
    <cellStyle name="Percent 9 5 6" xfId="33514"/>
    <cellStyle name="Percent 9 5 7" xfId="38245"/>
    <cellStyle name="Percent 9 50" xfId="8921"/>
    <cellStyle name="Percent 9 50 2" xfId="16002"/>
    <cellStyle name="Percent 9 50 3" xfId="21119"/>
    <cellStyle name="Percent 9 50 4" xfId="26162"/>
    <cellStyle name="Percent 9 50 5" xfId="31123"/>
    <cellStyle name="Percent 9 50 6" xfId="35981"/>
    <cellStyle name="Percent 9 50 7" xfId="40712"/>
    <cellStyle name="Percent 9 51" xfId="8937"/>
    <cellStyle name="Percent 9 51 2" xfId="16018"/>
    <cellStyle name="Percent 9 51 3" xfId="21135"/>
    <cellStyle name="Percent 9 51 4" xfId="26178"/>
    <cellStyle name="Percent 9 51 5" xfId="31139"/>
    <cellStyle name="Percent 9 51 6" xfId="35997"/>
    <cellStyle name="Percent 9 51 7" xfId="40728"/>
    <cellStyle name="Percent 9 52" xfId="8952"/>
    <cellStyle name="Percent 9 52 2" xfId="16033"/>
    <cellStyle name="Percent 9 52 3" xfId="21150"/>
    <cellStyle name="Percent 9 52 4" xfId="26193"/>
    <cellStyle name="Percent 9 52 5" xfId="31154"/>
    <cellStyle name="Percent 9 52 6" xfId="36012"/>
    <cellStyle name="Percent 9 52 7" xfId="40743"/>
    <cellStyle name="Percent 9 53" xfId="8966"/>
    <cellStyle name="Percent 9 53 2" xfId="16047"/>
    <cellStyle name="Percent 9 53 3" xfId="21164"/>
    <cellStyle name="Percent 9 53 4" xfId="26207"/>
    <cellStyle name="Percent 9 53 5" xfId="31168"/>
    <cellStyle name="Percent 9 53 6" xfId="36026"/>
    <cellStyle name="Percent 9 53 7" xfId="40757"/>
    <cellStyle name="Percent 9 54" xfId="8980"/>
    <cellStyle name="Percent 9 54 2" xfId="16061"/>
    <cellStyle name="Percent 9 54 3" xfId="21178"/>
    <cellStyle name="Percent 9 54 4" xfId="26221"/>
    <cellStyle name="Percent 9 54 5" xfId="31182"/>
    <cellStyle name="Percent 9 54 6" xfId="36040"/>
    <cellStyle name="Percent 9 54 7" xfId="40771"/>
    <cellStyle name="Percent 9 55" xfId="8992"/>
    <cellStyle name="Percent 9 55 2" xfId="16073"/>
    <cellStyle name="Percent 9 55 3" xfId="21190"/>
    <cellStyle name="Percent 9 55 4" xfId="26233"/>
    <cellStyle name="Percent 9 55 5" xfId="31194"/>
    <cellStyle name="Percent 9 55 6" xfId="36052"/>
    <cellStyle name="Percent 9 55 7" xfId="40783"/>
    <cellStyle name="Percent 9 56" xfId="9002"/>
    <cellStyle name="Percent 9 56 2" xfId="16083"/>
    <cellStyle name="Percent 9 56 3" xfId="21200"/>
    <cellStyle name="Percent 9 56 4" xfId="26243"/>
    <cellStyle name="Percent 9 56 5" xfId="31204"/>
    <cellStyle name="Percent 9 56 6" xfId="36062"/>
    <cellStyle name="Percent 9 56 7" xfId="40793"/>
    <cellStyle name="Percent 9 57" xfId="9012"/>
    <cellStyle name="Percent 9 57 2" xfId="16093"/>
    <cellStyle name="Percent 9 57 3" xfId="21210"/>
    <cellStyle name="Percent 9 57 4" xfId="26253"/>
    <cellStyle name="Percent 9 57 5" xfId="31214"/>
    <cellStyle name="Percent 9 57 6" xfId="36072"/>
    <cellStyle name="Percent 9 57 7" xfId="40803"/>
    <cellStyle name="Percent 9 58" xfId="9022"/>
    <cellStyle name="Percent 9 58 2" xfId="16103"/>
    <cellStyle name="Percent 9 58 3" xfId="21220"/>
    <cellStyle name="Percent 9 58 4" xfId="26263"/>
    <cellStyle name="Percent 9 58 5" xfId="31224"/>
    <cellStyle name="Percent 9 58 6" xfId="36082"/>
    <cellStyle name="Percent 9 58 7" xfId="40813"/>
    <cellStyle name="Percent 9 59" xfId="9032"/>
    <cellStyle name="Percent 9 59 2" xfId="16113"/>
    <cellStyle name="Percent 9 59 3" xfId="21230"/>
    <cellStyle name="Percent 9 59 4" xfId="26273"/>
    <cellStyle name="Percent 9 59 5" xfId="31234"/>
    <cellStyle name="Percent 9 59 6" xfId="36092"/>
    <cellStyle name="Percent 9 59 7" xfId="40823"/>
    <cellStyle name="Percent 9 6" xfId="4491"/>
    <cellStyle name="Percent 9 6 2" xfId="6547"/>
    <cellStyle name="Percent 9 6 3" xfId="18665"/>
    <cellStyle name="Percent 9 6 4" xfId="23708"/>
    <cellStyle name="Percent 9 6 5" xfId="28669"/>
    <cellStyle name="Percent 9 6 6" xfId="33527"/>
    <cellStyle name="Percent 9 6 7" xfId="38258"/>
    <cellStyle name="Percent 9 60" xfId="9042"/>
    <cellStyle name="Percent 9 60 2" xfId="16123"/>
    <cellStyle name="Percent 9 60 3" xfId="21240"/>
    <cellStyle name="Percent 9 60 4" xfId="26283"/>
    <cellStyle name="Percent 9 60 5" xfId="31244"/>
    <cellStyle name="Percent 9 60 6" xfId="36102"/>
    <cellStyle name="Percent 9 60 7" xfId="40833"/>
    <cellStyle name="Percent 9 61" xfId="9052"/>
    <cellStyle name="Percent 9 61 2" xfId="16133"/>
    <cellStyle name="Percent 9 61 3" xfId="21250"/>
    <cellStyle name="Percent 9 61 4" xfId="26293"/>
    <cellStyle name="Percent 9 61 5" xfId="31254"/>
    <cellStyle name="Percent 9 61 6" xfId="36112"/>
    <cellStyle name="Percent 9 61 7" xfId="40843"/>
    <cellStyle name="Percent 9 62" xfId="9060"/>
    <cellStyle name="Percent 9 62 2" xfId="16141"/>
    <cellStyle name="Percent 9 62 3" xfId="21258"/>
    <cellStyle name="Percent 9 62 4" xfId="26301"/>
    <cellStyle name="Percent 9 62 5" xfId="31262"/>
    <cellStyle name="Percent 9 62 6" xfId="36120"/>
    <cellStyle name="Percent 9 62 7" xfId="40851"/>
    <cellStyle name="Percent 9 63" xfId="9607"/>
    <cellStyle name="Percent 9 63 2" xfId="16688"/>
    <cellStyle name="Percent 9 63 3" xfId="21805"/>
    <cellStyle name="Percent 9 63 4" xfId="26848"/>
    <cellStyle name="Percent 9 63 5" xfId="31809"/>
    <cellStyle name="Percent 9 63 6" xfId="36667"/>
    <cellStyle name="Percent 9 63 7" xfId="41398"/>
    <cellStyle name="Percent 9 64" xfId="9619"/>
    <cellStyle name="Percent 9 64 2" xfId="16700"/>
    <cellStyle name="Percent 9 64 3" xfId="21817"/>
    <cellStyle name="Percent 9 64 4" xfId="26860"/>
    <cellStyle name="Percent 9 64 5" xfId="31821"/>
    <cellStyle name="Percent 9 64 6" xfId="36679"/>
    <cellStyle name="Percent 9 64 7" xfId="41410"/>
    <cellStyle name="Percent 9 65" xfId="9631"/>
    <cellStyle name="Percent 9 65 2" xfId="16712"/>
    <cellStyle name="Percent 9 65 3" xfId="21829"/>
    <cellStyle name="Percent 9 65 4" xfId="26872"/>
    <cellStyle name="Percent 9 65 5" xfId="31833"/>
    <cellStyle name="Percent 9 65 6" xfId="36691"/>
    <cellStyle name="Percent 9 65 7" xfId="41422"/>
    <cellStyle name="Percent 9 66" xfId="9642"/>
    <cellStyle name="Percent 9 66 2" xfId="16723"/>
    <cellStyle name="Percent 9 66 3" xfId="21840"/>
    <cellStyle name="Percent 9 66 4" xfId="26883"/>
    <cellStyle name="Percent 9 66 5" xfId="31844"/>
    <cellStyle name="Percent 9 66 6" xfId="36702"/>
    <cellStyle name="Percent 9 66 7" xfId="41433"/>
    <cellStyle name="Percent 9 67" xfId="9652"/>
    <cellStyle name="Percent 9 67 2" xfId="16733"/>
    <cellStyle name="Percent 9 67 3" xfId="21850"/>
    <cellStyle name="Percent 9 67 4" xfId="26893"/>
    <cellStyle name="Percent 9 67 5" xfId="31854"/>
    <cellStyle name="Percent 9 67 6" xfId="36712"/>
    <cellStyle name="Percent 9 67 7" xfId="41443"/>
    <cellStyle name="Percent 9 68" xfId="9662"/>
    <cellStyle name="Percent 9 68 2" xfId="16743"/>
    <cellStyle name="Percent 9 68 3" xfId="21860"/>
    <cellStyle name="Percent 9 68 4" xfId="26903"/>
    <cellStyle name="Percent 9 68 5" xfId="31864"/>
    <cellStyle name="Percent 9 68 6" xfId="36722"/>
    <cellStyle name="Percent 9 68 7" xfId="41453"/>
    <cellStyle name="Percent 9 69" xfId="9672"/>
    <cellStyle name="Percent 9 69 2" xfId="16753"/>
    <cellStyle name="Percent 9 69 3" xfId="21870"/>
    <cellStyle name="Percent 9 69 4" xfId="26913"/>
    <cellStyle name="Percent 9 69 5" xfId="31874"/>
    <cellStyle name="Percent 9 69 6" xfId="36732"/>
    <cellStyle name="Percent 9 69 7" xfId="41463"/>
    <cellStyle name="Percent 9 7" xfId="4642"/>
    <cellStyle name="Percent 9 7 2" xfId="6559"/>
    <cellStyle name="Percent 9 7 3" xfId="18677"/>
    <cellStyle name="Percent 9 7 4" xfId="23720"/>
    <cellStyle name="Percent 9 7 5" xfId="28681"/>
    <cellStyle name="Percent 9 7 6" xfId="33539"/>
    <cellStyle name="Percent 9 7 7" xfId="38270"/>
    <cellStyle name="Percent 9 70" xfId="9682"/>
    <cellStyle name="Percent 9 70 2" xfId="16763"/>
    <cellStyle name="Percent 9 70 3" xfId="21880"/>
    <cellStyle name="Percent 9 70 4" xfId="26923"/>
    <cellStyle name="Percent 9 70 5" xfId="31884"/>
    <cellStyle name="Percent 9 70 6" xfId="36742"/>
    <cellStyle name="Percent 9 70 7" xfId="41473"/>
    <cellStyle name="Percent 9 71" xfId="9692"/>
    <cellStyle name="Percent 9 71 2" xfId="16773"/>
    <cellStyle name="Percent 9 71 3" xfId="21890"/>
    <cellStyle name="Percent 9 71 4" xfId="26933"/>
    <cellStyle name="Percent 9 71 5" xfId="31894"/>
    <cellStyle name="Percent 9 71 6" xfId="36752"/>
    <cellStyle name="Percent 9 71 7" xfId="41483"/>
    <cellStyle name="Percent 9 72" xfId="9702"/>
    <cellStyle name="Percent 9 72 2" xfId="16783"/>
    <cellStyle name="Percent 9 72 3" xfId="21900"/>
    <cellStyle name="Percent 9 72 4" xfId="26943"/>
    <cellStyle name="Percent 9 72 5" xfId="31904"/>
    <cellStyle name="Percent 9 72 6" xfId="36762"/>
    <cellStyle name="Percent 9 72 7" xfId="41493"/>
    <cellStyle name="Percent 9 73" xfId="9712"/>
    <cellStyle name="Percent 9 73 2" xfId="16793"/>
    <cellStyle name="Percent 9 73 3" xfId="21910"/>
    <cellStyle name="Percent 9 73 4" xfId="26953"/>
    <cellStyle name="Percent 9 73 5" xfId="31914"/>
    <cellStyle name="Percent 9 73 6" xfId="36772"/>
    <cellStyle name="Percent 9 73 7" xfId="41503"/>
    <cellStyle name="Percent 9 74" xfId="9720"/>
    <cellStyle name="Percent 9 74 2" xfId="16801"/>
    <cellStyle name="Percent 9 74 3" xfId="21918"/>
    <cellStyle name="Percent 9 74 4" xfId="26961"/>
    <cellStyle name="Percent 9 74 5" xfId="31922"/>
    <cellStyle name="Percent 9 74 6" xfId="36780"/>
    <cellStyle name="Percent 9 74 7" xfId="41511"/>
    <cellStyle name="Percent 9 75" xfId="10002"/>
    <cellStyle name="Percent 9 75 2" xfId="17083"/>
    <cellStyle name="Percent 9 75 3" xfId="22200"/>
    <cellStyle name="Percent 9 75 4" xfId="27243"/>
    <cellStyle name="Percent 9 75 5" xfId="32204"/>
    <cellStyle name="Percent 9 75 6" xfId="37062"/>
    <cellStyle name="Percent 9 75 7" xfId="41793"/>
    <cellStyle name="Percent 9 76" xfId="10012"/>
    <cellStyle name="Percent 9 76 2" xfId="17093"/>
    <cellStyle name="Percent 9 76 3" xfId="22210"/>
    <cellStyle name="Percent 9 76 4" xfId="27253"/>
    <cellStyle name="Percent 9 76 5" xfId="32214"/>
    <cellStyle name="Percent 9 76 6" xfId="37072"/>
    <cellStyle name="Percent 9 76 7" xfId="41803"/>
    <cellStyle name="Percent 9 77" xfId="10022"/>
    <cellStyle name="Percent 9 77 2" xfId="17103"/>
    <cellStyle name="Percent 9 77 3" xfId="22220"/>
    <cellStyle name="Percent 9 77 4" xfId="27263"/>
    <cellStyle name="Percent 9 77 5" xfId="32224"/>
    <cellStyle name="Percent 9 77 6" xfId="37082"/>
    <cellStyle name="Percent 9 77 7" xfId="41813"/>
    <cellStyle name="Percent 9 78" xfId="10032"/>
    <cellStyle name="Percent 9 78 2" xfId="17113"/>
    <cellStyle name="Percent 9 78 3" xfId="22230"/>
    <cellStyle name="Percent 9 78 4" xfId="27273"/>
    <cellStyle name="Percent 9 78 5" xfId="32234"/>
    <cellStyle name="Percent 9 78 6" xfId="37092"/>
    <cellStyle name="Percent 9 78 7" xfId="41823"/>
    <cellStyle name="Percent 9 79" xfId="10042"/>
    <cellStyle name="Percent 9 79 2" xfId="17123"/>
    <cellStyle name="Percent 9 79 3" xfId="22240"/>
    <cellStyle name="Percent 9 79 4" xfId="27283"/>
    <cellStyle name="Percent 9 79 5" xfId="32244"/>
    <cellStyle name="Percent 9 79 6" xfId="37102"/>
    <cellStyle name="Percent 9 79 7" xfId="41833"/>
    <cellStyle name="Percent 9 8" xfId="4650"/>
    <cellStyle name="Percent 9 8 2" xfId="6571"/>
    <cellStyle name="Percent 9 8 3" xfId="18689"/>
    <cellStyle name="Percent 9 8 4" xfId="23732"/>
    <cellStyle name="Percent 9 8 5" xfId="28693"/>
    <cellStyle name="Percent 9 8 6" xfId="33551"/>
    <cellStyle name="Percent 9 8 7" xfId="38282"/>
    <cellStyle name="Percent 9 80" xfId="10050"/>
    <cellStyle name="Percent 9 80 2" xfId="17131"/>
    <cellStyle name="Percent 9 80 3" xfId="22248"/>
    <cellStyle name="Percent 9 80 4" xfId="27291"/>
    <cellStyle name="Percent 9 80 5" xfId="32252"/>
    <cellStyle name="Percent 9 80 6" xfId="37110"/>
    <cellStyle name="Percent 9 80 7" xfId="41841"/>
    <cellStyle name="Percent 9 81" xfId="10332"/>
    <cellStyle name="Percent 9 81 2" xfId="17413"/>
    <cellStyle name="Percent 9 81 3" xfId="22530"/>
    <cellStyle name="Percent 9 81 4" xfId="27573"/>
    <cellStyle name="Percent 9 81 5" xfId="32534"/>
    <cellStyle name="Percent 9 81 6" xfId="37392"/>
    <cellStyle name="Percent 9 81 7" xfId="42123"/>
    <cellStyle name="Percent 9 82" xfId="10342"/>
    <cellStyle name="Percent 9 82 2" xfId="17423"/>
    <cellStyle name="Percent 9 82 3" xfId="22540"/>
    <cellStyle name="Percent 9 82 4" xfId="27583"/>
    <cellStyle name="Percent 9 82 5" xfId="32544"/>
    <cellStyle name="Percent 9 82 6" xfId="37402"/>
    <cellStyle name="Percent 9 82 7" xfId="42133"/>
    <cellStyle name="Percent 9 83" xfId="10352"/>
    <cellStyle name="Percent 9 83 2" xfId="17433"/>
    <cellStyle name="Percent 9 83 3" xfId="22550"/>
    <cellStyle name="Percent 9 83 4" xfId="27593"/>
    <cellStyle name="Percent 9 83 5" xfId="32554"/>
    <cellStyle name="Percent 9 83 6" xfId="37412"/>
    <cellStyle name="Percent 9 83 7" xfId="42143"/>
    <cellStyle name="Percent 9 84" xfId="10362"/>
    <cellStyle name="Percent 9 84 2" xfId="17443"/>
    <cellStyle name="Percent 9 84 3" xfId="22560"/>
    <cellStyle name="Percent 9 84 4" xfId="27603"/>
    <cellStyle name="Percent 9 84 5" xfId="32564"/>
    <cellStyle name="Percent 9 84 6" xfId="37422"/>
    <cellStyle name="Percent 9 84 7" xfId="42153"/>
    <cellStyle name="Percent 9 85" xfId="10372"/>
    <cellStyle name="Percent 9 85 2" xfId="17453"/>
    <cellStyle name="Percent 9 85 3" xfId="22570"/>
    <cellStyle name="Percent 9 85 4" xfId="27613"/>
    <cellStyle name="Percent 9 85 5" xfId="32574"/>
    <cellStyle name="Percent 9 85 6" xfId="37432"/>
    <cellStyle name="Percent 9 85 7" xfId="42163"/>
    <cellStyle name="Percent 9 86" xfId="10380"/>
    <cellStyle name="Percent 9 86 2" xfId="17461"/>
    <cellStyle name="Percent 9 86 3" xfId="22578"/>
    <cellStyle name="Percent 9 86 4" xfId="27621"/>
    <cellStyle name="Percent 9 86 5" xfId="32582"/>
    <cellStyle name="Percent 9 86 6" xfId="37440"/>
    <cellStyle name="Percent 9 86 7" xfId="42171"/>
    <cellStyle name="Percent 9 87" xfId="14198"/>
    <cellStyle name="Percent 9 88" xfId="17899"/>
    <cellStyle name="Percent 9 89" xfId="22942"/>
    <cellStyle name="Percent 9 9" xfId="4658"/>
    <cellStyle name="Percent 9 9 2" xfId="6582"/>
    <cellStyle name="Percent 9 9 3" xfId="18700"/>
    <cellStyle name="Percent 9 9 4" xfId="23743"/>
    <cellStyle name="Percent 9 9 5" xfId="28704"/>
    <cellStyle name="Percent 9 9 6" xfId="33562"/>
    <cellStyle name="Percent 9 9 7" xfId="38293"/>
    <cellStyle name="Percent 9 90" xfId="27903"/>
    <cellStyle name="Percent 9 91" xfId="32761"/>
    <cellStyle name="Percent 9 92" xfId="37492"/>
    <cellStyle name="Style2" xfId="4730"/>
    <cellStyle name="Style3" xfId="4731"/>
    <cellStyle name="Title" xfId="45" builtinId="15" customBuiltin="1"/>
    <cellStyle name="Title 10" xfId="778"/>
    <cellStyle name="Title 11" xfId="813"/>
    <cellStyle name="Title 12" xfId="847"/>
    <cellStyle name="Title 13" xfId="879"/>
    <cellStyle name="Title 14" xfId="913"/>
    <cellStyle name="Title 15" xfId="937"/>
    <cellStyle name="Title 16" xfId="1022"/>
    <cellStyle name="Title 17" xfId="1036"/>
    <cellStyle name="Title 18" xfId="1087"/>
    <cellStyle name="Title 19" xfId="1181"/>
    <cellStyle name="Title 2" xfId="109"/>
    <cellStyle name="Title 2 2" xfId="5748"/>
    <cellStyle name="Title 20" xfId="1212"/>
    <cellStyle name="Title 21" xfId="1242"/>
    <cellStyle name="Title 22" xfId="1266"/>
    <cellStyle name="Title 23" xfId="1491"/>
    <cellStyle name="Title 23 2" xfId="2684"/>
    <cellStyle name="Title 23 3" xfId="3032"/>
    <cellStyle name="Title 23 4" xfId="2168"/>
    <cellStyle name="Title 23 5" xfId="1797"/>
    <cellStyle name="Title 23 6" xfId="2249"/>
    <cellStyle name="Title 23 7" xfId="1739"/>
    <cellStyle name="Title 23 8" xfId="2294"/>
    <cellStyle name="Title 24" xfId="1511"/>
    <cellStyle name="Title 24 2" xfId="2704"/>
    <cellStyle name="Title 24 3" xfId="3052"/>
    <cellStyle name="Title 24 4" xfId="3306"/>
    <cellStyle name="Title 24 5" xfId="2179"/>
    <cellStyle name="Title 24 6" xfId="1842"/>
    <cellStyle name="Title 24 7" xfId="2404"/>
    <cellStyle name="Title 24 8" xfId="2301"/>
    <cellStyle name="Title 25" xfId="1355"/>
    <cellStyle name="Title 25 2" xfId="2553"/>
    <cellStyle name="Title 25 3" xfId="2903"/>
    <cellStyle name="Title 25 4" xfId="1756"/>
    <cellStyle name="Title 25 5" xfId="3625"/>
    <cellStyle name="Title 25 6" xfId="3820"/>
    <cellStyle name="Title 25 7" xfId="3982"/>
    <cellStyle name="Title 25 8" xfId="4108"/>
    <cellStyle name="Title 26" xfId="1324"/>
    <cellStyle name="Title 26 2" xfId="2525"/>
    <cellStyle name="Title 26 3" xfId="2874"/>
    <cellStyle name="Title 26 4" xfId="2080"/>
    <cellStyle name="Title 26 5" xfId="3554"/>
    <cellStyle name="Title 26 6" xfId="3758"/>
    <cellStyle name="Title 26 7" xfId="3935"/>
    <cellStyle name="Title 26 8" xfId="4080"/>
    <cellStyle name="Title 27" xfId="1586"/>
    <cellStyle name="Title 27 2" xfId="2764"/>
    <cellStyle name="Title 27 3" xfId="3118"/>
    <cellStyle name="Title 27 4" xfId="2312"/>
    <cellStyle name="Title 27 5" xfId="3570"/>
    <cellStyle name="Title 27 6" xfId="3772"/>
    <cellStyle name="Title 27 7" xfId="3948"/>
    <cellStyle name="Title 27 8" xfId="4090"/>
    <cellStyle name="Title 28" xfId="1617"/>
    <cellStyle name="Title 28 2" xfId="2794"/>
    <cellStyle name="Title 28 3" xfId="3148"/>
    <cellStyle name="Title 28 4" xfId="2101"/>
    <cellStyle name="Title 28 5" xfId="2097"/>
    <cellStyle name="Title 28 6" xfId="2195"/>
    <cellStyle name="Title 28 7" xfId="2322"/>
    <cellStyle name="Title 28 8" xfId="1709"/>
    <cellStyle name="Title 29" xfId="1651"/>
    <cellStyle name="Title 29 2" xfId="2823"/>
    <cellStyle name="Title 29 3" xfId="3177"/>
    <cellStyle name="Title 29 4" xfId="2376"/>
    <cellStyle name="Title 29 5" xfId="3536"/>
    <cellStyle name="Title 29 6" xfId="3742"/>
    <cellStyle name="Title 29 7" xfId="3923"/>
    <cellStyle name="Title 29 8" xfId="4072"/>
    <cellStyle name="Title 3" xfId="139"/>
    <cellStyle name="Title 30" xfId="1679"/>
    <cellStyle name="Title 30 2" xfId="2847"/>
    <cellStyle name="Title 30 3" xfId="3200"/>
    <cellStyle name="Title 30 4" xfId="1801"/>
    <cellStyle name="Title 30 5" xfId="3708"/>
    <cellStyle name="Title 30 6" xfId="3894"/>
    <cellStyle name="Title 30 7" xfId="4048"/>
    <cellStyle name="Title 30 8" xfId="4155"/>
    <cellStyle name="Title 4" xfId="471"/>
    <cellStyle name="Title 5" xfId="487"/>
    <cellStyle name="Title 6" xfId="552"/>
    <cellStyle name="Title 7" xfId="659"/>
    <cellStyle name="Title 8" xfId="699"/>
    <cellStyle name="Title 9" xfId="739"/>
    <cellStyle name="Total" xfId="46" builtinId="25" customBuiltin="1"/>
    <cellStyle name="Total 10" xfId="593"/>
    <cellStyle name="Total 11" xfId="483"/>
    <cellStyle name="Total 12" xfId="559"/>
    <cellStyle name="Total 13" xfId="679"/>
    <cellStyle name="Total 14" xfId="719"/>
    <cellStyle name="Total 15" xfId="758"/>
    <cellStyle name="Total 16" xfId="1023"/>
    <cellStyle name="Total 17" xfId="1110"/>
    <cellStyle name="Total 18" xfId="1125"/>
    <cellStyle name="Total 19" xfId="1094"/>
    <cellStyle name="Total 2" xfId="110"/>
    <cellStyle name="Total 2 2" xfId="5749"/>
    <cellStyle name="Total 20" xfId="1178"/>
    <cellStyle name="Total 21" xfId="1111"/>
    <cellStyle name="Total 22" xfId="1146"/>
    <cellStyle name="Total 23" xfId="1465"/>
    <cellStyle name="Total 23 2" xfId="2659"/>
    <cellStyle name="Total 23 3" xfId="3007"/>
    <cellStyle name="Total 23 4" xfId="2171"/>
    <cellStyle name="Total 23 5" xfId="1830"/>
    <cellStyle name="Total 23 6" xfId="3403"/>
    <cellStyle name="Total 23 7" xfId="2390"/>
    <cellStyle name="Total 23 8" xfId="3583"/>
    <cellStyle name="Total 24" xfId="1547"/>
    <cellStyle name="Total 24 2" xfId="2736"/>
    <cellStyle name="Total 24 3" xfId="3085"/>
    <cellStyle name="Total 24 4" xfId="2227"/>
    <cellStyle name="Total 24 5" xfId="2340"/>
    <cellStyle name="Total 24 6" xfId="3189"/>
    <cellStyle name="Total 24 7" xfId="1675"/>
    <cellStyle name="Total 24 8" xfId="3609"/>
    <cellStyle name="Total 25" xfId="1506"/>
    <cellStyle name="Total 25 2" xfId="2699"/>
    <cellStyle name="Total 25 3" xfId="3047"/>
    <cellStyle name="Total 25 4" xfId="1872"/>
    <cellStyle name="Total 25 5" xfId="2203"/>
    <cellStyle name="Total 25 6" xfId="1729"/>
    <cellStyle name="Total 25 7" xfId="1892"/>
    <cellStyle name="Total 25 8" xfId="2077"/>
    <cellStyle name="Total 26" xfId="1348"/>
    <cellStyle name="Total 26 2" xfId="2547"/>
    <cellStyle name="Total 26 3" xfId="2896"/>
    <cellStyle name="Total 26 4" xfId="2239"/>
    <cellStyle name="Total 26 5" xfId="1904"/>
    <cellStyle name="Total 26 6" xfId="2396"/>
    <cellStyle name="Total 26 7" xfId="2115"/>
    <cellStyle name="Total 26 8" xfId="3533"/>
    <cellStyle name="Total 27" xfId="1538"/>
    <cellStyle name="Total 27 2" xfId="2727"/>
    <cellStyle name="Total 27 3" xfId="3076"/>
    <cellStyle name="Total 27 4" xfId="3400"/>
    <cellStyle name="Total 27 5" xfId="1982"/>
    <cellStyle name="Total 27 6" xfId="3715"/>
    <cellStyle name="Total 27 7" xfId="3900"/>
    <cellStyle name="Total 27 8" xfId="4054"/>
    <cellStyle name="Total 28" xfId="1555"/>
    <cellStyle name="Total 28 2" xfId="2743"/>
    <cellStyle name="Total 28 3" xfId="3092"/>
    <cellStyle name="Total 28 4" xfId="2405"/>
    <cellStyle name="Total 28 5" xfId="1998"/>
    <cellStyle name="Total 28 6" xfId="3596"/>
    <cellStyle name="Total 28 7" xfId="3796"/>
    <cellStyle name="Total 28 8" xfId="3965"/>
    <cellStyle name="Total 29" xfId="1424"/>
    <cellStyle name="Total 29 2" xfId="2619"/>
    <cellStyle name="Total 29 3" xfId="2967"/>
    <cellStyle name="Total 29 4" xfId="3310"/>
    <cellStyle name="Total 29 5" xfId="3337"/>
    <cellStyle name="Total 29 6" xfId="1961"/>
    <cellStyle name="Total 29 7" xfId="3465"/>
    <cellStyle name="Total 29 8" xfId="2287"/>
    <cellStyle name="Total 3" xfId="191"/>
    <cellStyle name="Total 30" xfId="1381"/>
    <cellStyle name="Total 30 2" xfId="2576"/>
    <cellStyle name="Total 30 3" xfId="2925"/>
    <cellStyle name="Total 30 4" xfId="2346"/>
    <cellStyle name="Total 30 5" xfId="3732"/>
    <cellStyle name="Total 30 6" xfId="3917"/>
    <cellStyle name="Total 30 7" xfId="4066"/>
    <cellStyle name="Total 30 8" xfId="4165"/>
    <cellStyle name="Total 4" xfId="472"/>
    <cellStyle name="Total 5" xfId="577"/>
    <cellStyle name="Total 6" xfId="595"/>
    <cellStyle name="Total 7" xfId="560"/>
    <cellStyle name="Total 8" xfId="655"/>
    <cellStyle name="Total 9" xfId="494"/>
    <cellStyle name="Warning Text" xfId="47" builtinId="11" customBuiltin="1"/>
    <cellStyle name="Warning Text 10" xfId="757"/>
    <cellStyle name="Warning Text 11" xfId="794"/>
    <cellStyle name="Warning Text 12" xfId="828"/>
    <cellStyle name="Warning Text 13" xfId="861"/>
    <cellStyle name="Warning Text 14" xfId="895"/>
    <cellStyle name="Warning Text 15" xfId="925"/>
    <cellStyle name="Warning Text 16" xfId="1024"/>
    <cellStyle name="Warning Text 17" xfId="1109"/>
    <cellStyle name="Warning Text 18" xfId="1127"/>
    <cellStyle name="Warning Text 19" xfId="1091"/>
    <cellStyle name="Warning Text 2" xfId="111"/>
    <cellStyle name="Warning Text 2 2" xfId="5750"/>
    <cellStyle name="Warning Text 20" xfId="1195"/>
    <cellStyle name="Warning Text 21" xfId="1226"/>
    <cellStyle name="Warning Text 22" xfId="1253"/>
    <cellStyle name="Warning Text 23" xfId="1461"/>
    <cellStyle name="Warning Text 23 2" xfId="2655"/>
    <cellStyle name="Warning Text 23 3" xfId="3003"/>
    <cellStyle name="Warning Text 23 4" xfId="2424"/>
    <cellStyle name="Warning Text 23 5" xfId="2310"/>
    <cellStyle name="Warning Text 23 6" xfId="2402"/>
    <cellStyle name="Warning Text 23 7" xfId="3513"/>
    <cellStyle name="Warning Text 23 8" xfId="3410"/>
    <cellStyle name="Warning Text 24" xfId="1562"/>
    <cellStyle name="Warning Text 24 2" xfId="2750"/>
    <cellStyle name="Warning Text 24 3" xfId="3099"/>
    <cellStyle name="Warning Text 24 4" xfId="1744"/>
    <cellStyle name="Warning Text 24 5" xfId="3553"/>
    <cellStyle name="Warning Text 24 6" xfId="3757"/>
    <cellStyle name="Warning Text 24 7" xfId="3934"/>
    <cellStyle name="Warning Text 24 8" xfId="4079"/>
    <cellStyle name="Warning Text 25" xfId="1496"/>
    <cellStyle name="Warning Text 25 2" xfId="2689"/>
    <cellStyle name="Warning Text 25 3" xfId="3037"/>
    <cellStyle name="Warning Text 25 4" xfId="2426"/>
    <cellStyle name="Warning Text 25 5" xfId="3254"/>
    <cellStyle name="Warning Text 25 6" xfId="3510"/>
    <cellStyle name="Warning Text 25 7" xfId="3575"/>
    <cellStyle name="Warning Text 25 8" xfId="3777"/>
    <cellStyle name="Warning Text 26" xfId="1352"/>
    <cellStyle name="Warning Text 26 2" xfId="2550"/>
    <cellStyle name="Warning Text 26 3" xfId="2900"/>
    <cellStyle name="Warning Text 26 4" xfId="2333"/>
    <cellStyle name="Warning Text 26 5" xfId="3709"/>
    <cellStyle name="Warning Text 26 6" xfId="3895"/>
    <cellStyle name="Warning Text 26 7" xfId="4049"/>
    <cellStyle name="Warning Text 26 8" xfId="4156"/>
    <cellStyle name="Warning Text 27" xfId="1418"/>
    <cellStyle name="Warning Text 27 2" xfId="2613"/>
    <cellStyle name="Warning Text 27 3" xfId="2961"/>
    <cellStyle name="Warning Text 27 4" xfId="3474"/>
    <cellStyle name="Warning Text 27 5" xfId="3663"/>
    <cellStyle name="Warning Text 27 6" xfId="3856"/>
    <cellStyle name="Warning Text 27 7" xfId="4016"/>
    <cellStyle name="Warning Text 27 8" xfId="4132"/>
    <cellStyle name="Warning Text 28" xfId="1600"/>
    <cellStyle name="Warning Text 28 2" xfId="2778"/>
    <cellStyle name="Warning Text 28 3" xfId="3132"/>
    <cellStyle name="Warning Text 28 4" xfId="3322"/>
    <cellStyle name="Warning Text 28 5" xfId="1980"/>
    <cellStyle name="Warning Text 28 6" xfId="3249"/>
    <cellStyle name="Warning Text 28 7" xfId="3520"/>
    <cellStyle name="Warning Text 28 8" xfId="3684"/>
    <cellStyle name="Warning Text 29" xfId="1632"/>
    <cellStyle name="Warning Text 29 2" xfId="2807"/>
    <cellStyle name="Warning Text 29 3" xfId="3161"/>
    <cellStyle name="Warning Text 29 4" xfId="3353"/>
    <cellStyle name="Warning Text 29 5" xfId="2279"/>
    <cellStyle name="Warning Text 29 6" xfId="1972"/>
    <cellStyle name="Warning Text 29 7" xfId="1828"/>
    <cellStyle name="Warning Text 29 8" xfId="1899"/>
    <cellStyle name="Warning Text 3" xfId="183"/>
    <cellStyle name="Warning Text 30" xfId="1662"/>
    <cellStyle name="Warning Text 30 2" xfId="2834"/>
    <cellStyle name="Warning Text 30 3" xfId="3188"/>
    <cellStyle name="Warning Text 30 4" xfId="3359"/>
    <cellStyle name="Warning Text 30 5" xfId="3290"/>
    <cellStyle name="Warning Text 30 6" xfId="2359"/>
    <cellStyle name="Warning Text 30 7" xfId="1905"/>
    <cellStyle name="Warning Text 30 8" xfId="1956"/>
    <cellStyle name="Warning Text 4" xfId="473"/>
    <cellStyle name="Warning Text 5" xfId="576"/>
    <cellStyle name="Warning Text 6" xfId="597"/>
    <cellStyle name="Warning Text 7" xfId="556"/>
    <cellStyle name="Warning Text 8" xfId="678"/>
    <cellStyle name="Warning Text 9" xfId="71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activeX1.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Ms NORAH LION"/>
  <ax:ocxPr ax:name="FontName" ax:value="Arial"/>
  <ax:ocxPr ax:name="FontEffects" ax:value="1073741825"/>
  <ax:ocxPr ax:name="FontHeight" ax:value="240"/>
  <ax:ocxPr ax:name="FontCharSet" ax:value="0"/>
  <ax:ocxPr ax:name="FontPitchAndFamily" ax:value="2"/>
  <ax:ocxPr ax:name="FontWeight" ax:value="700"/>
</ax:ocx>
</file>

<file path=xl/activeX/activeX2.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4339;714"/>
  <ax:ocxPr ax:name="Value" ax:value="015 307 8060"/>
  <ax:ocxPr ax:name="FontName" ax:value="Arial"/>
  <ax:ocxPr ax:name="FontEffects" ax:value="1073741825"/>
  <ax:ocxPr ax:name="FontHeight" ax:value="240"/>
  <ax:ocxPr ax:name="FontCharSet" ax:value="0"/>
  <ax:ocxPr ax:name="FontPitchAndFamily" ax:value="2"/>
  <ax:ocxPr ax:name="FontWeight" ax:value="700"/>
</ax:ocx>
</file>

<file path=xl/activeX/activeX3.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norah.lion@tzaneen.gov.za"/>
  <ax:ocxPr ax:name="FontName" ax:value="Arial"/>
  <ax:ocxPr ax:name="FontEffects" ax:value="1073741825"/>
  <ax:ocxPr ax:name="FontHeight" ax:value="240"/>
  <ax:ocxPr ax:name="FontCharSet" ax:value="0"/>
  <ax:ocxPr ax:name="FontPitchAndFamily" ax:value="2"/>
  <ax:ocxPr ax:name="FontWeight" ax:value="700"/>
</ax:ocx>
</file>

<file path=xl/activeX/activeX4.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95;714"/>
  <ax:ocxPr ax:name="Value" ax:value="015 307 8049"/>
  <ax:ocxPr ax:name="FontName" ax:value="Arial"/>
  <ax:ocxPr ax:name="FontEffects" ax:value="1073741825"/>
  <ax:ocxPr ax:name="FontHeight" ax:value="240"/>
  <ax:ocxPr ax:name="FontCharSet" ax:value="0"/>
  <ax:ocxPr ax:name="FontPitchAndFamily" ax:value="2"/>
  <ax:ocxPr ax:name="FontWeight" ax:value="700"/>
</ax:ocx>
</file>

<file path=xl/activeX/activeX5.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Hide Reference columns on all sheets"/>
  <ax:ocxPr ax:name="FontName" ax:value="Arial"/>
  <ax:ocxPr ax:name="FontHeight" ax:value="195"/>
  <ax:ocxPr ax:name="FontCharSet" ax:value="0"/>
  <ax:ocxPr ax:name="FontPitchAndFamily" ax:value="2"/>
  <ax:ocxPr ax:name="ParagraphAlign" ax:value="3"/>
</ax:ocx>
</file>

<file path=xl/activeX/activeX6.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900"/>
  <ax:ocxPr ax:name="Value" ax:value="0"/>
  <ax:ocxPr ax:name="Caption" ax:value="Hide Pre-audit columns on all sheets"/>
  <ax:ocxPr ax:name="FontName" ax:value="Arial"/>
  <ax:ocxPr ax:name="FontHeight" ax:value="195"/>
  <ax:ocxPr ax:name="FontCharSet" ax:value="0"/>
  <ax:ocxPr ax:name="FontPitchAndFamily" ax:value="2"/>
  <ax:ocxPr ax:name="ParagraphAlign" ax:value="3"/>
</ax:ocx>
</file>

<file path=xl/activeX/activeX7.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Clear Highlights on all sheets"/>
  <ax:ocxPr ax:name="FontName" ax:value="Arial"/>
  <ax:ocxPr ax:name="FontHeight" ax:value="195"/>
  <ax:ocxPr ax:name="FontCharSet" ax:value="0"/>
  <ax:ocxPr ax:name="FontPitchAndFamily" ax:value="2"/>
  <ax:ocxPr ax:name="ParagraphAlign" ax:value="3"/>
</ax:ocx>
</file>

<file path=xl/activeX/activeX8.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16;714"/>
  <ax:ocxPr ax:name="Value" ax:value="26 FEBRUARY 2014"/>
  <ax:ocxPr ax:name="FontName" ax:value="Arial"/>
  <ax:ocxPr ax:name="FontEffects" ax:value="1073741825"/>
  <ax:ocxPr ax:name="FontHeight" ax:value="240"/>
  <ax:ocxPr ax:name="FontCharSet" ax:value="0"/>
  <ax:ocxPr ax:name="FontPitchAndFamily" ax:value="2"/>
  <ax:ocxPr ax:name="FontWeight" ax:value="700"/>
</ax:ocx>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56442" name="Group 29"/>
        <xdr:cNvGrpSpPr>
          <a:grpSpLocks/>
        </xdr:cNvGrpSpPr>
      </xdr:nvGrpSpPr>
      <xdr:grpSpPr bwMode="auto">
        <a:xfrm>
          <a:off x="0" y="0"/>
          <a:ext cx="8601075" cy="7191375"/>
          <a:chOff x="0" y="0"/>
          <a:chExt cx="903" cy="755"/>
        </a:xfrm>
      </xdr:grpSpPr>
      <xdr:grpSp>
        <xdr:nvGrpSpPr>
          <xdr:cNvPr id="56444" name="Group 11"/>
          <xdr:cNvGrpSpPr>
            <a:grpSpLocks/>
          </xdr:cNvGrpSpPr>
        </xdr:nvGrpSpPr>
        <xdr:grpSpPr bwMode="auto">
          <a:xfrm>
            <a:off x="0" y="0"/>
            <a:ext cx="903" cy="755"/>
            <a:chOff x="0" y="0"/>
            <a:chExt cx="791" cy="672"/>
          </a:xfrm>
        </xdr:grpSpPr>
        <xdr:grpSp>
          <xdr:nvGrpSpPr>
            <xdr:cNvPr id="56446" name="Group 12"/>
            <xdr:cNvGrpSpPr>
              <a:grpSpLocks/>
            </xdr:cNvGrpSpPr>
          </xdr:nvGrpSpPr>
          <xdr:grpSpPr bwMode="auto">
            <a:xfrm>
              <a:off x="0" y="0"/>
              <a:ext cx="791" cy="672"/>
              <a:chOff x="12" y="17"/>
              <a:chExt cx="791" cy="672"/>
            </a:xfrm>
          </xdr:grpSpPr>
          <xdr:pic>
            <xdr:nvPicPr>
              <xdr:cNvPr id="56448" name="Picture 13" descr="Untitled-1 copy"/>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w="9525">
                <a:noFill/>
                <a:miter lim="800000"/>
                <a:headEnd/>
                <a:tailEnd/>
              </a:ln>
            </xdr:spPr>
          </xdr:pic>
          <xdr:pic>
            <xdr:nvPicPr>
              <xdr:cNvPr id="56449" name="Picture 14" descr="1 copy"/>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w="9525">
                <a:noFill/>
                <a:miter lim="800000"/>
                <a:headEnd/>
                <a:tailEnd/>
              </a:ln>
            </xdr:spPr>
          </xdr:pic>
          <xdr:grpSp>
            <xdr:nvGrpSpPr>
              <xdr:cNvPr id="56450" name="Group 15"/>
              <xdr:cNvGrpSpPr>
                <a:grpSpLocks/>
              </xdr:cNvGrpSpPr>
            </xdr:nvGrpSpPr>
            <xdr:grpSpPr bwMode="auto">
              <a:xfrm>
                <a:off x="416" y="255"/>
                <a:ext cx="367" cy="413"/>
                <a:chOff x="416" y="255"/>
                <a:chExt cx="367" cy="413"/>
              </a:xfrm>
            </xdr:grpSpPr>
            <xdr:pic>
              <xdr:nvPicPr>
                <xdr:cNvPr id="5645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56456" name="Group 17"/>
                <xdr:cNvGrpSpPr>
                  <a:grpSpLocks/>
                </xdr:cNvGrpSpPr>
              </xdr:nvGrpSpPr>
              <xdr:grpSpPr bwMode="auto">
                <a:xfrm>
                  <a:off x="432" y="264"/>
                  <a:ext cx="286" cy="128"/>
                  <a:chOff x="426" y="263"/>
                  <a:chExt cx="290" cy="130"/>
                </a:xfrm>
              </xdr:grpSpPr>
              <xdr:pic>
                <xdr:nvPicPr>
                  <xdr:cNvPr id="5645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5645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56451" name="Group 21"/>
              <xdr:cNvGrpSpPr>
                <a:grpSpLocks/>
              </xdr:cNvGrpSpPr>
            </xdr:nvGrpSpPr>
            <xdr:grpSpPr bwMode="auto">
              <a:xfrm>
                <a:off x="76" y="364"/>
                <a:ext cx="289" cy="256"/>
                <a:chOff x="76" y="364"/>
                <a:chExt cx="289" cy="256"/>
              </a:xfrm>
            </xdr:grpSpPr>
            <xdr:pic>
              <xdr:nvPicPr>
                <xdr:cNvPr id="56452" name="Picture 22" descr="J1c"/>
                <xdr:cNvPicPr>
                  <a:picLocks noChangeAspect="1" noChangeArrowheads="1"/>
                </xdr:cNvPicPr>
              </xdr:nvPicPr>
              <xdr:blipFill>
                <a:blip xmlns:r="http://schemas.openxmlformats.org/officeDocument/2006/relationships" r:embed="rId5"/>
                <a:srcRect/>
                <a:stretch>
                  <a:fillRect/>
                </a:stretch>
              </xdr:blipFill>
              <xdr:spPr bwMode="auto">
                <a:xfrm>
                  <a:off x="76" y="364"/>
                  <a:ext cx="289" cy="84"/>
                </a:xfrm>
                <a:prstGeom prst="rect">
                  <a:avLst/>
                </a:prstGeom>
                <a:noFill/>
                <a:ln w="9525">
                  <a:noFill/>
                  <a:miter lim="800000"/>
                  <a:headEnd/>
                  <a:tailEnd/>
                </a:ln>
              </xdr:spPr>
            </xdr:pic>
            <xdr:pic>
              <xdr:nvPicPr>
                <xdr:cNvPr id="56453" name="Picture 23" descr="J1a"/>
                <xdr:cNvPicPr>
                  <a:picLocks noChangeAspect="1" noChangeArrowheads="1"/>
                </xdr:cNvPicPr>
              </xdr:nvPicPr>
              <xdr:blipFill>
                <a:blip xmlns:r="http://schemas.openxmlformats.org/officeDocument/2006/relationships" r:embed="rId6"/>
                <a:srcRect/>
                <a:stretch>
                  <a:fillRect/>
                </a:stretch>
              </xdr:blipFill>
              <xdr:spPr bwMode="auto">
                <a:xfrm>
                  <a:off x="76" y="536"/>
                  <a:ext cx="289" cy="84"/>
                </a:xfrm>
                <a:prstGeom prst="rect">
                  <a:avLst/>
                </a:prstGeom>
                <a:noFill/>
                <a:ln w="9525">
                  <a:noFill/>
                  <a:miter lim="800000"/>
                  <a:headEnd/>
                  <a:tailEnd/>
                </a:ln>
              </xdr:spPr>
            </xdr:pic>
            <xdr:pic>
              <xdr:nvPicPr>
                <xdr:cNvPr id="56454" name="Picture 24" descr="J1b"/>
                <xdr:cNvPicPr>
                  <a:picLocks noChangeAspect="1" noChangeArrowheads="1"/>
                </xdr:cNvPicPr>
              </xdr:nvPicPr>
              <xdr:blipFill>
                <a:blip xmlns:r="http://schemas.openxmlformats.org/officeDocument/2006/relationships" r:embed="rId7"/>
                <a:srcRect/>
                <a:stretch>
                  <a:fillRect/>
                </a:stretch>
              </xdr:blipFill>
              <xdr:spPr bwMode="auto">
                <a:xfrm>
                  <a:off x="76" y="450"/>
                  <a:ext cx="289" cy="84"/>
                </a:xfrm>
                <a:prstGeom prst="rect">
                  <a:avLst/>
                </a:prstGeom>
                <a:noFill/>
                <a:ln w="9525">
                  <a:noFill/>
                  <a:miter lim="800000"/>
                  <a:headEnd/>
                  <a:tailEnd/>
                </a:ln>
              </xdr:spPr>
            </xdr:pic>
          </xdr:grpSp>
        </xdr:grpSp>
        <xdr:pic>
          <xdr:nvPicPr>
            <xdr:cNvPr id="56447" name="Picture 25" descr="B1 light"/>
            <xdr:cNvPicPr>
              <a:picLocks noChangeAspect="1" noChangeArrowheads="1"/>
            </xdr:cNvPicPr>
          </xdr:nvPicPr>
          <xdr:blipFill>
            <a:blip xmlns:r="http://schemas.openxmlformats.org/officeDocument/2006/relationships" r:embed="rId8"/>
            <a:srcRect/>
            <a:stretch>
              <a:fillRect/>
            </a:stretch>
          </xdr:blipFill>
          <xdr:spPr bwMode="auto">
            <a:xfrm>
              <a:off x="11" y="11"/>
              <a:ext cx="770" cy="215"/>
            </a:xfrm>
            <a:prstGeom prst="rect">
              <a:avLst/>
            </a:prstGeom>
            <a:noFill/>
            <a:ln w="9525">
              <a:noFill/>
              <a:miter lim="800000"/>
              <a:headEnd/>
              <a:tailEnd/>
            </a:ln>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55899" name="Picture 3" descr="Untitled-1 copy"/>
        <xdr:cNvPicPr>
          <a:picLocks noChangeAspect="1" noChangeArrowheads="1"/>
        </xdr:cNvPicPr>
      </xdr:nvPicPr>
      <xdr:blipFill>
        <a:blip xmlns:r="http://schemas.openxmlformats.org/officeDocument/2006/relationships" r:embed="rId1"/>
        <a:srcRect/>
        <a:stretch>
          <a:fillRect/>
        </a:stretch>
      </xdr:blipFill>
      <xdr:spPr bwMode="auto">
        <a:xfrm>
          <a:off x="0" y="0"/>
          <a:ext cx="7534275" cy="8010525"/>
        </a:xfrm>
        <a:prstGeom prst="rect">
          <a:avLst/>
        </a:prstGeom>
        <a:noFill/>
        <a:ln w="9525">
          <a:noFill/>
          <a:miter lim="800000"/>
          <a:headEnd/>
          <a:tailEnd/>
        </a:ln>
      </xdr:spPr>
    </xdr:pic>
    <xdr:clientData/>
  </xdr:twoCellAnchor>
  <xdr:twoCellAnchor>
    <xdr:from>
      <xdr:col>0</xdr:col>
      <xdr:colOff>104775</xdr:colOff>
      <xdr:row>28</xdr:row>
      <xdr:rowOff>142875</xdr:rowOff>
    </xdr:from>
    <xdr:to>
      <xdr:col>6</xdr:col>
      <xdr:colOff>47625</xdr:colOff>
      <xdr:row>45</xdr:row>
      <xdr:rowOff>66675</xdr:rowOff>
    </xdr:to>
    <xdr:pic>
      <xdr:nvPicPr>
        <xdr:cNvPr id="55900"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104775" y="5057775"/>
          <a:ext cx="3600450" cy="2790825"/>
        </a:xfrm>
        <a:prstGeom prst="rect">
          <a:avLst/>
        </a:prstGeom>
        <a:noFill/>
        <a:ln w="9525">
          <a:noFill/>
          <a:miter lim="800000"/>
          <a:headEnd/>
          <a:tailEnd/>
        </a:ln>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66675</xdr:colOff>
      <xdr:row>28</xdr:row>
      <xdr:rowOff>152400</xdr:rowOff>
    </xdr:from>
    <xdr:to>
      <xdr:col>12</xdr:col>
      <xdr:colOff>85725</xdr:colOff>
      <xdr:row>45</xdr:row>
      <xdr:rowOff>57150</xdr:rowOff>
    </xdr:to>
    <xdr:pic>
      <xdr:nvPicPr>
        <xdr:cNvPr id="55917"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3724275" y="5067300"/>
          <a:ext cx="3676650" cy="2771775"/>
        </a:xfrm>
        <a:prstGeom prst="rect">
          <a:avLst/>
        </a:prstGeom>
        <a:noFill/>
        <a:ln w="9525">
          <a:noFill/>
          <a:miter lim="800000"/>
          <a:headEnd/>
          <a:tailEnd/>
        </a:ln>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3"/>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4"/>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5"/>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6"/>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7"/>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471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3.xml"/><Relationship Id="rId11" Type="http://schemas.openxmlformats.org/officeDocument/2006/relationships/control" Target="../activeX/activeX8.xml"/><Relationship Id="rId5" Type="http://schemas.openxmlformats.org/officeDocument/2006/relationships/control" Target="../activeX/activeX2.xml"/><Relationship Id="rId10" Type="http://schemas.openxmlformats.org/officeDocument/2006/relationships/control" Target="../activeX/activeX7.xml"/><Relationship Id="rId4" Type="http://schemas.openxmlformats.org/officeDocument/2006/relationships/control" Target="../activeX/activeX1.xml"/><Relationship Id="rId9"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Mandy.Arjoon@tzaneen.gov.za" TargetMode="External"/><Relationship Id="rId3" Type="http://schemas.openxmlformats.org/officeDocument/2006/relationships/hyperlink" Target="mailto:philly.kamela@tzaneen.gov.za" TargetMode="External"/><Relationship Id="rId7" Type="http://schemas.openxmlformats.org/officeDocument/2006/relationships/hyperlink" Target="mailto:oupa.mbungela@tzaneen.gov.za" TargetMode="External"/><Relationship Id="rId2" Type="http://schemas.openxmlformats.org/officeDocument/2006/relationships/hyperlink" Target="mailto:norah.lion@tzaneen.gov.za" TargetMode="External"/><Relationship Id="rId1" Type="http://schemas.openxmlformats.org/officeDocument/2006/relationships/hyperlink" Target="http://www.tzaneen.gov.za/" TargetMode="External"/><Relationship Id="rId6" Type="http://schemas.openxmlformats.org/officeDocument/2006/relationships/hyperlink" Target="mailto:arnold.mathebula@tzaneen.gov.za" TargetMode="External"/><Relationship Id="rId5" Type="http://schemas.openxmlformats.org/officeDocument/2006/relationships/hyperlink" Target="mailto:masiye.mankabidi@tzaneen.gov.za" TargetMode="External"/><Relationship Id="rId4" Type="http://schemas.openxmlformats.org/officeDocument/2006/relationships/hyperlink" Target="mailto:mmetledj@tzaneen.gov.za"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0" enableFormatConditionsCalculation="0">
    <tabColor indexed="46"/>
  </sheetPr>
  <dimension ref="A1:A40"/>
  <sheetViews>
    <sheetView showGridLines="0" topLeftCell="A25" workbookViewId="0"/>
  </sheetViews>
  <sheetFormatPr defaultRowHeight="12.75"/>
  <sheetData>
    <row r="1" spans="1:1">
      <c r="A1" t="str">
        <f>muni</f>
        <v>LIM333 Greater Tzaneen</v>
      </c>
    </row>
    <row r="14" spans="1:1" ht="36" customHeight="1"/>
    <row r="36" ht="51.75" customHeight="1"/>
    <row r="40" ht="34.5" customHeight="1"/>
  </sheetData>
  <phoneticPr fontId="17"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82" enableFormatConditionsCalculation="0">
    <tabColor indexed="44"/>
    <pageSetUpPr fitToPage="1"/>
  </sheetPr>
  <dimension ref="A1:Z87"/>
  <sheetViews>
    <sheetView showGridLines="0" workbookViewId="0">
      <pane xSplit="2" ySplit="5" topLeftCell="C27" activePane="bottomRight" state="frozen"/>
      <selection activeCell="M17" sqref="M17:M63"/>
      <selection pane="topRight" activeCell="M17" sqref="M17:M63"/>
      <selection pane="bottomLeft" activeCell="M17" sqref="M17:M63"/>
      <selection pane="bottomRight" activeCell="H14" sqref="H14"/>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LIM333 Greater Tzaneen - Table B3 Consolidated Adjustments Budget Financial Performance (revenue and expenditure by municipal vote) - 26 FEBRUARY 2014</v>
      </c>
      <c r="B1" s="5"/>
      <c r="C1" s="58"/>
    </row>
    <row r="2" spans="1:26" ht="38.25">
      <c r="A2" s="1327" t="str">
        <f>Vdesc</f>
        <v>Vote Description</v>
      </c>
      <c r="B2" s="1322" t="str">
        <f>head27</f>
        <v>Ref</v>
      </c>
      <c r="C2" s="1319" t="str">
        <f>Head2</f>
        <v>Budget Year 2013/14</v>
      </c>
      <c r="D2" s="1320"/>
      <c r="E2" s="1320"/>
      <c r="F2" s="1320"/>
      <c r="G2" s="1320"/>
      <c r="H2" s="1320"/>
      <c r="I2" s="1320"/>
      <c r="J2" s="1320"/>
      <c r="K2" s="1320"/>
      <c r="L2" s="60" t="str">
        <f>Head10</f>
        <v>Budget Year +1 2014/15</v>
      </c>
      <c r="M2" s="61" t="str">
        <f>Head11</f>
        <v>Budget Year +2 2015/16</v>
      </c>
    </row>
    <row r="3" spans="1:26" ht="25.5">
      <c r="A3" s="1328"/>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642</v>
      </c>
      <c r="B4" s="1323"/>
      <c r="C4" s="65"/>
      <c r="D4" s="15">
        <v>3</v>
      </c>
      <c r="E4" s="15">
        <v>4</v>
      </c>
      <c r="F4" s="15">
        <v>5</v>
      </c>
      <c r="G4" s="15">
        <v>6</v>
      </c>
      <c r="H4" s="15">
        <v>7</v>
      </c>
      <c r="I4" s="15">
        <v>8</v>
      </c>
      <c r="J4" s="15">
        <v>9</v>
      </c>
      <c r="K4" s="15">
        <v>10</v>
      </c>
      <c r="L4" s="15"/>
      <c r="M4" s="17"/>
    </row>
    <row r="5" spans="1:26" ht="13.5" customHeight="1">
      <c r="A5" s="66" t="s">
        <v>643</v>
      </c>
      <c r="B5" s="1331"/>
      <c r="C5" s="67" t="s">
        <v>583</v>
      </c>
      <c r="D5" s="68" t="s">
        <v>584</v>
      </c>
      <c r="E5" s="68" t="s">
        <v>585</v>
      </c>
      <c r="F5" s="69" t="s">
        <v>586</v>
      </c>
      <c r="G5" s="69" t="s">
        <v>587</v>
      </c>
      <c r="H5" s="69" t="s">
        <v>588</v>
      </c>
      <c r="I5" s="70" t="s">
        <v>589</v>
      </c>
      <c r="J5" s="70" t="s">
        <v>590</v>
      </c>
      <c r="K5" s="70" t="s">
        <v>591</v>
      </c>
      <c r="L5" s="70"/>
      <c r="M5" s="71"/>
      <c r="N5" s="48"/>
      <c r="O5" s="48"/>
      <c r="P5" s="48"/>
      <c r="Q5" s="48"/>
      <c r="R5" s="48"/>
      <c r="S5" s="48"/>
      <c r="T5" s="48"/>
      <c r="U5" s="48"/>
      <c r="V5" s="48"/>
      <c r="W5" s="48"/>
      <c r="X5" s="48"/>
      <c r="Y5" s="48"/>
      <c r="Z5" s="48"/>
    </row>
    <row r="6" spans="1:26" ht="12.75" customHeight="1">
      <c r="A6" s="72" t="s">
        <v>644</v>
      </c>
      <c r="B6" s="73">
        <v>1</v>
      </c>
      <c r="C6" s="74"/>
      <c r="D6" s="75"/>
      <c r="E6" s="75"/>
      <c r="F6" s="75"/>
      <c r="G6" s="75"/>
      <c r="H6" s="75"/>
      <c r="I6" s="75"/>
      <c r="J6" s="75"/>
      <c r="K6" s="75"/>
      <c r="L6" s="75"/>
      <c r="M6" s="76"/>
      <c r="N6" s="874"/>
      <c r="O6" s="77"/>
      <c r="P6" s="77"/>
      <c r="Q6" s="77"/>
      <c r="R6" s="77"/>
      <c r="S6" s="77"/>
      <c r="T6" s="77"/>
      <c r="U6" s="77"/>
      <c r="V6" s="77"/>
      <c r="W6" s="77"/>
      <c r="X6" s="77"/>
      <c r="Y6" s="77"/>
      <c r="Z6" s="48"/>
    </row>
    <row r="7" spans="1:26" ht="12.75" customHeight="1">
      <c r="A7" s="985" t="str">
        <f>B3B!A7</f>
        <v>Vote 1 - Municipal Manager</v>
      </c>
      <c r="B7" s="73"/>
      <c r="C7" s="126">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75"/>
      <c r="O7" s="77"/>
      <c r="P7" s="77"/>
      <c r="Q7" s="77"/>
      <c r="R7" s="77"/>
      <c r="S7" s="77"/>
      <c r="T7" s="77"/>
      <c r="U7" s="77"/>
      <c r="V7" s="77"/>
      <c r="W7" s="77"/>
      <c r="X7" s="77"/>
      <c r="Y7" s="77"/>
      <c r="Z7" s="48"/>
    </row>
    <row r="8" spans="1:26" ht="12.75" customHeight="1">
      <c r="A8" s="985" t="str">
        <f>B3B!A18</f>
        <v>Vote 2 - Planning &amp; Economic Development</v>
      </c>
      <c r="B8" s="73"/>
      <c r="C8" s="126">
        <f>B3B!C18</f>
        <v>5513655</v>
      </c>
      <c r="D8" s="171">
        <f>B3B!D18</f>
        <v>0</v>
      </c>
      <c r="E8" s="171">
        <f>B3B!E18</f>
        <v>0</v>
      </c>
      <c r="F8" s="171">
        <f>B3B!F18</f>
        <v>0</v>
      </c>
      <c r="G8" s="171">
        <f>B3B!G18</f>
        <v>0</v>
      </c>
      <c r="H8" s="171">
        <f>B3B!H18</f>
        <v>18350000</v>
      </c>
      <c r="I8" s="171">
        <f>B3B!I18</f>
        <v>5500000</v>
      </c>
      <c r="J8" s="75">
        <f t="shared" si="0"/>
        <v>23850000</v>
      </c>
      <c r="K8" s="75">
        <f t="shared" si="1"/>
        <v>29363655</v>
      </c>
      <c r="L8" s="171">
        <f>B3B!L18</f>
        <v>7038824</v>
      </c>
      <c r="M8" s="235">
        <f>B3B!M18</f>
        <v>7565226</v>
      </c>
      <c r="N8" s="875"/>
      <c r="O8" s="77"/>
      <c r="P8" s="77"/>
      <c r="Q8" s="77"/>
      <c r="R8" s="77"/>
      <c r="S8" s="77"/>
      <c r="T8" s="77"/>
      <c r="U8" s="77"/>
      <c r="V8" s="77"/>
      <c r="W8" s="77"/>
      <c r="X8" s="77"/>
      <c r="Y8" s="77"/>
      <c r="Z8" s="48"/>
    </row>
    <row r="9" spans="1:26" ht="12.75" customHeight="1">
      <c r="A9" s="985" t="str">
        <f>B3B!A29</f>
        <v>Vote 3 - Financial Services</v>
      </c>
      <c r="B9" s="73"/>
      <c r="C9" s="126">
        <f>B3B!C29</f>
        <v>287832278</v>
      </c>
      <c r="D9" s="171">
        <f>B3B!D29</f>
        <v>0</v>
      </c>
      <c r="E9" s="171">
        <f>B3B!E29</f>
        <v>0</v>
      </c>
      <c r="F9" s="171">
        <f>B3B!F29</f>
        <v>0</v>
      </c>
      <c r="G9" s="171">
        <f>B3B!G29</f>
        <v>0</v>
      </c>
      <c r="H9" s="171">
        <f>B3B!H29</f>
        <v>0</v>
      </c>
      <c r="I9" s="171">
        <f>B3B!I29</f>
        <v>33247614</v>
      </c>
      <c r="J9" s="75">
        <f t="shared" si="0"/>
        <v>33247614</v>
      </c>
      <c r="K9" s="75">
        <f t="shared" si="1"/>
        <v>321079892</v>
      </c>
      <c r="L9" s="171">
        <f>B3B!L29</f>
        <v>315811162</v>
      </c>
      <c r="M9" s="235">
        <f>B3B!M29</f>
        <v>373610831</v>
      </c>
      <c r="N9" s="874"/>
      <c r="O9" s="77"/>
      <c r="P9" s="77"/>
      <c r="Q9" s="77"/>
      <c r="R9" s="77"/>
      <c r="S9" s="77"/>
      <c r="T9" s="77"/>
      <c r="U9" s="77"/>
      <c r="V9" s="77"/>
      <c r="W9" s="77"/>
      <c r="X9" s="77"/>
      <c r="Y9" s="77"/>
      <c r="Z9" s="48"/>
    </row>
    <row r="10" spans="1:26" ht="12.75" customHeight="1">
      <c r="A10" s="985" t="str">
        <f>B3B!A40</f>
        <v>Vote 4 - Corporate Services</v>
      </c>
      <c r="B10" s="73"/>
      <c r="C10" s="126">
        <f>B3B!C40</f>
        <v>1557</v>
      </c>
      <c r="D10" s="171">
        <f>B3B!D40</f>
        <v>0</v>
      </c>
      <c r="E10" s="171">
        <f>B3B!E40</f>
        <v>0</v>
      </c>
      <c r="F10" s="171">
        <f>B3B!F40</f>
        <v>0</v>
      </c>
      <c r="G10" s="171">
        <f>B3B!G40</f>
        <v>0</v>
      </c>
      <c r="H10" s="171">
        <f>B3B!H40</f>
        <v>0</v>
      </c>
      <c r="I10" s="171">
        <f>B3B!I40</f>
        <v>0</v>
      </c>
      <c r="J10" s="75">
        <f t="shared" si="0"/>
        <v>0</v>
      </c>
      <c r="K10" s="75">
        <f t="shared" si="1"/>
        <v>1557</v>
      </c>
      <c r="L10" s="171">
        <f>B3B!L40</f>
        <v>1633</v>
      </c>
      <c r="M10" s="235">
        <f>B3B!M40</f>
        <v>1713</v>
      </c>
      <c r="N10" s="874"/>
      <c r="O10" s="77"/>
      <c r="P10" s="77"/>
      <c r="Q10" s="77"/>
      <c r="R10" s="77"/>
      <c r="S10" s="77"/>
      <c r="T10" s="77"/>
      <c r="U10" s="77"/>
      <c r="V10" s="77"/>
      <c r="W10" s="77"/>
      <c r="X10" s="77"/>
      <c r="Y10" s="77"/>
      <c r="Z10" s="48"/>
    </row>
    <row r="11" spans="1:26" ht="12.75" customHeight="1">
      <c r="A11" s="985" t="str">
        <f>B3B!A51</f>
        <v>Vote 5 - Community Services</v>
      </c>
      <c r="B11" s="73"/>
      <c r="C11" s="126">
        <f>B3B!C51</f>
        <v>31855913</v>
      </c>
      <c r="D11" s="171">
        <f>B3B!D51</f>
        <v>0</v>
      </c>
      <c r="E11" s="171">
        <f>B3B!E51</f>
        <v>0</v>
      </c>
      <c r="F11" s="171">
        <f>B3B!F51</f>
        <v>0</v>
      </c>
      <c r="G11" s="171">
        <f>B3B!G51</f>
        <v>0</v>
      </c>
      <c r="H11" s="171">
        <f>B3B!H51</f>
        <v>0</v>
      </c>
      <c r="I11" s="171">
        <f>B3B!I51</f>
        <v>0</v>
      </c>
      <c r="J11" s="75">
        <f t="shared" si="0"/>
        <v>0</v>
      </c>
      <c r="K11" s="75">
        <f t="shared" si="1"/>
        <v>31855913</v>
      </c>
      <c r="L11" s="171">
        <f>B3B!L51</f>
        <v>31623063</v>
      </c>
      <c r="M11" s="235">
        <f>B3B!M51</f>
        <v>33172593</v>
      </c>
      <c r="N11" s="874"/>
      <c r="O11" s="77"/>
      <c r="P11" s="77"/>
      <c r="Q11" s="77"/>
      <c r="R11" s="77"/>
      <c r="S11" s="77"/>
      <c r="T11" s="77"/>
      <c r="U11" s="77"/>
      <c r="V11" s="77"/>
      <c r="W11" s="77"/>
      <c r="X11" s="77"/>
      <c r="Y11" s="77"/>
      <c r="Z11" s="48"/>
    </row>
    <row r="12" spans="1:26" ht="12.75" customHeight="1">
      <c r="A12" s="985" t="str">
        <f>B3B!A62</f>
        <v>Vote 6 - Community Services</v>
      </c>
      <c r="B12" s="73"/>
      <c r="C12" s="126">
        <f>B3B!C62</f>
        <v>47474250</v>
      </c>
      <c r="D12" s="171">
        <f>B3B!D62</f>
        <v>0</v>
      </c>
      <c r="E12" s="171">
        <f>B3B!E62</f>
        <v>0</v>
      </c>
      <c r="F12" s="171">
        <f>B3B!F62</f>
        <v>0</v>
      </c>
      <c r="G12" s="171">
        <f>B3B!G62</f>
        <v>0</v>
      </c>
      <c r="H12" s="171">
        <f>B3B!H62</f>
        <v>0</v>
      </c>
      <c r="I12" s="171">
        <f>B3B!I62</f>
        <v>0</v>
      </c>
      <c r="J12" s="75">
        <f t="shared" si="0"/>
        <v>0</v>
      </c>
      <c r="K12" s="75">
        <f t="shared" si="1"/>
        <v>47474250</v>
      </c>
      <c r="L12" s="171">
        <f>B3B!L62</f>
        <v>49800488</v>
      </c>
      <c r="M12" s="235">
        <f>B3B!M62</f>
        <v>52240712</v>
      </c>
      <c r="N12" s="874"/>
      <c r="O12" s="77"/>
      <c r="P12" s="77"/>
      <c r="Q12" s="77"/>
      <c r="R12" s="77"/>
      <c r="S12" s="77"/>
      <c r="T12" s="77"/>
      <c r="U12" s="77"/>
      <c r="V12" s="77"/>
      <c r="W12" s="77"/>
      <c r="X12" s="77"/>
      <c r="Y12" s="77"/>
      <c r="Z12" s="48"/>
    </row>
    <row r="13" spans="1:26" ht="12.75" customHeight="1">
      <c r="A13" s="985" t="str">
        <f>B3B!A73</f>
        <v>Vote 7 - Electrical Engineering Services</v>
      </c>
      <c r="B13" s="73"/>
      <c r="C13" s="126">
        <f>B3B!C73</f>
        <v>404524484</v>
      </c>
      <c r="D13" s="171">
        <f>B3B!D73</f>
        <v>0</v>
      </c>
      <c r="E13" s="171">
        <f>B3B!E73</f>
        <v>0</v>
      </c>
      <c r="F13" s="171">
        <f>B3B!F73</f>
        <v>0</v>
      </c>
      <c r="G13" s="171">
        <f>B3B!G73</f>
        <v>0</v>
      </c>
      <c r="H13" s="171">
        <f>B3B!H73</f>
        <v>2000000</v>
      </c>
      <c r="I13" s="171">
        <f>B3B!I73</f>
        <v>0</v>
      </c>
      <c r="J13" s="75">
        <f t="shared" si="0"/>
        <v>2000000</v>
      </c>
      <c r="K13" s="75">
        <f t="shared" si="1"/>
        <v>406524484</v>
      </c>
      <c r="L13" s="171">
        <f>B3B!L73</f>
        <v>428121184</v>
      </c>
      <c r="M13" s="235">
        <f>B3B!M73</f>
        <v>447629121</v>
      </c>
      <c r="N13" s="874"/>
      <c r="O13" s="77"/>
      <c r="P13" s="77"/>
      <c r="Q13" s="77"/>
      <c r="R13" s="77"/>
      <c r="S13" s="77"/>
      <c r="T13" s="77"/>
      <c r="U13" s="77"/>
      <c r="V13" s="77"/>
      <c r="W13" s="77"/>
      <c r="X13" s="77"/>
      <c r="Y13" s="77"/>
      <c r="Z13" s="48"/>
    </row>
    <row r="14" spans="1:26" ht="12.75" customHeight="1">
      <c r="A14" s="985" t="str">
        <f>B3B!A84</f>
        <v>Vote 8 - Engineering Services</v>
      </c>
      <c r="B14" s="73"/>
      <c r="C14" s="126">
        <f>B3B!C84</f>
        <v>73859325</v>
      </c>
      <c r="D14" s="171">
        <f>B3B!D84</f>
        <v>0</v>
      </c>
      <c r="E14" s="171">
        <f>B3B!E84</f>
        <v>0</v>
      </c>
      <c r="F14" s="171">
        <f>B3B!F84</f>
        <v>0</v>
      </c>
      <c r="G14" s="171">
        <f>B3B!G84</f>
        <v>0</v>
      </c>
      <c r="H14" s="171">
        <f>B3B!H84</f>
        <v>0</v>
      </c>
      <c r="I14" s="171">
        <f>B3B!I84</f>
        <v>0</v>
      </c>
      <c r="J14" s="75">
        <f t="shared" si="0"/>
        <v>0</v>
      </c>
      <c r="K14" s="75">
        <f t="shared" si="1"/>
        <v>73859325</v>
      </c>
      <c r="L14" s="171">
        <f>B3B!L84</f>
        <v>87793332</v>
      </c>
      <c r="M14" s="235">
        <f>B3B!M84</f>
        <v>94957808</v>
      </c>
      <c r="N14" s="874"/>
      <c r="O14" s="77"/>
      <c r="P14" s="77"/>
      <c r="Q14" s="77"/>
      <c r="R14" s="77"/>
      <c r="S14" s="77"/>
      <c r="T14" s="77"/>
      <c r="U14" s="77"/>
      <c r="V14" s="77"/>
      <c r="W14" s="77"/>
      <c r="X14" s="77"/>
      <c r="Y14" s="77"/>
      <c r="Z14" s="48"/>
    </row>
    <row r="15" spans="1:26" ht="12.75" customHeight="1">
      <c r="A15" s="985" t="str">
        <f>B3B!A95</f>
        <v>Vote 9 - [NAME OF VOTE 9]</v>
      </c>
      <c r="B15" s="73"/>
      <c r="C15" s="126">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74"/>
      <c r="O15" s="77"/>
      <c r="P15" s="77"/>
      <c r="Q15" s="77"/>
      <c r="R15" s="77"/>
      <c r="S15" s="77"/>
      <c r="T15" s="77"/>
      <c r="U15" s="77"/>
      <c r="V15" s="77"/>
      <c r="W15" s="77"/>
      <c r="X15" s="77"/>
      <c r="Y15" s="77"/>
      <c r="Z15" s="48"/>
    </row>
    <row r="16" spans="1:26" ht="12.75" customHeight="1">
      <c r="A16" s="985" t="str">
        <f>B3B!A106</f>
        <v>Vote 10 - [NAME OF VOTE 10]</v>
      </c>
      <c r="B16" s="73"/>
      <c r="C16" s="126">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74"/>
      <c r="O16" s="77"/>
      <c r="P16" s="77"/>
      <c r="Q16" s="77"/>
      <c r="R16" s="77"/>
      <c r="S16" s="77"/>
      <c r="T16" s="77"/>
      <c r="U16" s="77"/>
      <c r="V16" s="77"/>
      <c r="W16" s="77"/>
      <c r="X16" s="77"/>
      <c r="Y16" s="77"/>
      <c r="Z16" s="48"/>
    </row>
    <row r="17" spans="1:26" ht="12.75" customHeight="1">
      <c r="A17" s="985" t="str">
        <f>B3B!A117</f>
        <v>Vote 11 - [NAME OF VOTE 11]</v>
      </c>
      <c r="B17" s="73"/>
      <c r="C17" s="126">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74"/>
      <c r="O17" s="77"/>
      <c r="P17" s="77"/>
      <c r="Q17" s="77"/>
      <c r="R17" s="77"/>
      <c r="S17" s="77"/>
      <c r="T17" s="77"/>
      <c r="U17" s="77"/>
      <c r="V17" s="77"/>
      <c r="W17" s="77"/>
      <c r="X17" s="77"/>
      <c r="Y17" s="77"/>
      <c r="Z17" s="48"/>
    </row>
    <row r="18" spans="1:26" ht="12.75" customHeight="1">
      <c r="A18" s="985" t="str">
        <f>B3B!A128</f>
        <v>Vote 12 - [NAME OF VOTE 12]</v>
      </c>
      <c r="B18" s="73"/>
      <c r="C18" s="126">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74"/>
      <c r="O18" s="77"/>
      <c r="P18" s="77"/>
      <c r="Q18" s="77"/>
      <c r="R18" s="77"/>
      <c r="S18" s="77"/>
      <c r="T18" s="77"/>
      <c r="U18" s="77"/>
      <c r="V18" s="77"/>
      <c r="W18" s="77"/>
      <c r="X18" s="77"/>
      <c r="Y18" s="77"/>
      <c r="Z18" s="48"/>
    </row>
    <row r="19" spans="1:26" ht="12.75" customHeight="1">
      <c r="A19" s="985" t="str">
        <f>B3B!A139</f>
        <v>Vote 13 - [NAME OF VOTE 13]</v>
      </c>
      <c r="B19" s="73"/>
      <c r="C19" s="126">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74"/>
      <c r="O19" s="77"/>
      <c r="P19" s="77"/>
      <c r="Q19" s="77"/>
      <c r="R19" s="77"/>
      <c r="S19" s="77"/>
      <c r="T19" s="77"/>
      <c r="U19" s="77"/>
      <c r="V19" s="77"/>
      <c r="W19" s="77"/>
      <c r="X19" s="77"/>
      <c r="Y19" s="77"/>
      <c r="Z19" s="48"/>
    </row>
    <row r="20" spans="1:26" ht="12.75" customHeight="1">
      <c r="A20" s="985" t="str">
        <f>B3B!A150</f>
        <v>Vote 14 - [NAME OF VOTE 14]</v>
      </c>
      <c r="B20" s="73"/>
      <c r="C20" s="126">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74"/>
      <c r="O20" s="77"/>
      <c r="P20" s="77"/>
      <c r="Q20" s="77"/>
      <c r="R20" s="77"/>
      <c r="S20" s="77"/>
      <c r="T20" s="77"/>
      <c r="U20" s="77"/>
      <c r="V20" s="77"/>
      <c r="W20" s="77"/>
      <c r="X20" s="77"/>
      <c r="Y20" s="77"/>
      <c r="Z20" s="48"/>
    </row>
    <row r="21" spans="1:26" ht="12.75" customHeight="1">
      <c r="A21" s="985" t="str">
        <f>B3B!A161</f>
        <v>Vote 15 - [NAME OF VOTE 15]</v>
      </c>
      <c r="B21" s="73"/>
      <c r="C21" s="126">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74"/>
      <c r="O21" s="77"/>
      <c r="P21" s="77"/>
      <c r="Q21" s="77"/>
      <c r="R21" s="77"/>
      <c r="S21" s="77"/>
      <c r="T21" s="77"/>
      <c r="U21" s="77"/>
      <c r="V21" s="77"/>
      <c r="W21" s="77"/>
      <c r="X21" s="77"/>
      <c r="Y21" s="77"/>
      <c r="Z21" s="48"/>
    </row>
    <row r="22" spans="1:26" ht="12.75" customHeight="1">
      <c r="A22" s="78" t="s">
        <v>645</v>
      </c>
      <c r="B22" s="79">
        <v>2</v>
      </c>
      <c r="C22" s="80">
        <f>SUM(C7:C21)</f>
        <v>851061462</v>
      </c>
      <c r="D22" s="81">
        <f t="shared" ref="D22:K22" si="2">SUM(D7:D21)</f>
        <v>0</v>
      </c>
      <c r="E22" s="81">
        <f t="shared" si="2"/>
        <v>0</v>
      </c>
      <c r="F22" s="81">
        <f t="shared" si="2"/>
        <v>0</v>
      </c>
      <c r="G22" s="81">
        <f t="shared" si="2"/>
        <v>0</v>
      </c>
      <c r="H22" s="81">
        <f t="shared" si="2"/>
        <v>20350000</v>
      </c>
      <c r="I22" s="81">
        <f t="shared" si="2"/>
        <v>38747614</v>
      </c>
      <c r="J22" s="81">
        <f>SUM(J7:J21)</f>
        <v>59097614</v>
      </c>
      <c r="K22" s="81">
        <f t="shared" si="2"/>
        <v>910159076</v>
      </c>
      <c r="L22" s="81">
        <f>SUM(L7:L21)</f>
        <v>920189686</v>
      </c>
      <c r="M22" s="82">
        <f>SUM(M7:M21)</f>
        <v>1009178004</v>
      </c>
      <c r="N22" s="566"/>
      <c r="O22" s="53"/>
      <c r="P22" s="53"/>
      <c r="Q22" s="53"/>
      <c r="R22" s="53"/>
      <c r="S22" s="53"/>
      <c r="T22" s="53"/>
      <c r="U22" s="53"/>
      <c r="V22" s="53"/>
      <c r="W22" s="53"/>
      <c r="X22" s="53"/>
      <c r="Y22" s="53"/>
      <c r="Z22" s="48"/>
    </row>
    <row r="23" spans="1:26" ht="5.0999999999999996"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646</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Municipal Manager</v>
      </c>
      <c r="B25" s="73"/>
      <c r="C25" s="126">
        <f>B3B!C175</f>
        <v>11277949</v>
      </c>
      <c r="D25" s="171">
        <f>B3B!D175</f>
        <v>0</v>
      </c>
      <c r="E25" s="171">
        <f>B3B!E175</f>
        <v>0</v>
      </c>
      <c r="F25" s="171">
        <f>B3B!F175</f>
        <v>0</v>
      </c>
      <c r="G25" s="171">
        <f>B3B!G175</f>
        <v>0</v>
      </c>
      <c r="H25" s="171">
        <f>B3B!H175</f>
        <v>0</v>
      </c>
      <c r="I25" s="171">
        <f>B3B!I175</f>
        <v>-29033</v>
      </c>
      <c r="J25" s="75">
        <f t="shared" ref="J25:J39" si="3">SUM(E25:I25)</f>
        <v>-29033</v>
      </c>
      <c r="K25" s="75">
        <f t="shared" ref="K25:K39" si="4">IF(D25=0,C25+J25,D25+J25)</f>
        <v>11248916</v>
      </c>
      <c r="L25" s="171">
        <f>B3B!L175</f>
        <v>12039011</v>
      </c>
      <c r="M25" s="235">
        <f>B3B!M175</f>
        <v>12502380</v>
      </c>
      <c r="N25" s="875"/>
      <c r="O25" s="84"/>
      <c r="P25" s="84"/>
      <c r="Q25" s="84"/>
      <c r="R25" s="84"/>
      <c r="S25" s="84"/>
      <c r="T25" s="84"/>
      <c r="U25" s="84"/>
      <c r="V25" s="84"/>
      <c r="W25" s="84"/>
      <c r="X25" s="84"/>
      <c r="Y25" s="84"/>
      <c r="Z25" s="48"/>
    </row>
    <row r="26" spans="1:26" ht="12.75" customHeight="1">
      <c r="A26" s="85" t="str">
        <f>B3B!A186</f>
        <v>Vote 2 - Planning &amp; Economic Development</v>
      </c>
      <c r="B26" s="73"/>
      <c r="C26" s="126">
        <f>B3B!C186</f>
        <v>18232758</v>
      </c>
      <c r="D26" s="171">
        <f>B3B!D186</f>
        <v>0</v>
      </c>
      <c r="E26" s="171">
        <f>B3B!E186</f>
        <v>0</v>
      </c>
      <c r="F26" s="171">
        <f>B3B!F186</f>
        <v>0</v>
      </c>
      <c r="G26" s="171">
        <f>B3B!G186</f>
        <v>0</v>
      </c>
      <c r="H26" s="171">
        <f>B3B!H186</f>
        <v>0</v>
      </c>
      <c r="I26" s="171">
        <f>B3B!I186</f>
        <v>5204495</v>
      </c>
      <c r="J26" s="75">
        <f t="shared" si="3"/>
        <v>5204495</v>
      </c>
      <c r="K26" s="75">
        <f t="shared" si="4"/>
        <v>23437253</v>
      </c>
      <c r="L26" s="171">
        <f>B3B!L186</f>
        <v>26214230</v>
      </c>
      <c r="M26" s="235">
        <f>B3B!M186</f>
        <v>28291939</v>
      </c>
      <c r="N26" s="875"/>
      <c r="O26" s="86"/>
      <c r="P26" s="86"/>
      <c r="Q26" s="86"/>
      <c r="R26" s="86"/>
      <c r="S26" s="86"/>
      <c r="T26" s="86"/>
      <c r="U26" s="86"/>
      <c r="V26" s="86"/>
      <c r="W26" s="86"/>
      <c r="X26" s="86"/>
      <c r="Y26" s="86"/>
      <c r="Z26" s="48"/>
    </row>
    <row r="27" spans="1:26" ht="12.75" customHeight="1">
      <c r="A27" s="85" t="str">
        <f>B3B!A197</f>
        <v>Vote 3 - Financial Services</v>
      </c>
      <c r="B27" s="73"/>
      <c r="C27" s="126">
        <f>B3B!C197</f>
        <v>60100585</v>
      </c>
      <c r="D27" s="171">
        <f>B3B!D197</f>
        <v>0</v>
      </c>
      <c r="E27" s="171">
        <f>B3B!E197</f>
        <v>0</v>
      </c>
      <c r="F27" s="171">
        <f>B3B!F197</f>
        <v>0</v>
      </c>
      <c r="G27" s="171">
        <f>B3B!G197</f>
        <v>0</v>
      </c>
      <c r="H27" s="171">
        <f>B3B!H197</f>
        <v>0</v>
      </c>
      <c r="I27" s="171">
        <f>B3B!I197</f>
        <v>-11886</v>
      </c>
      <c r="J27" s="75">
        <f t="shared" si="3"/>
        <v>-11886</v>
      </c>
      <c r="K27" s="75">
        <f t="shared" si="4"/>
        <v>60088699</v>
      </c>
      <c r="L27" s="171">
        <f>B3B!L197</f>
        <v>63142567</v>
      </c>
      <c r="M27" s="235">
        <f>B3B!M197</f>
        <v>66150504</v>
      </c>
      <c r="N27" s="874"/>
      <c r="O27" s="86"/>
      <c r="P27" s="86"/>
      <c r="Q27" s="86"/>
      <c r="R27" s="86"/>
      <c r="S27" s="86"/>
      <c r="T27" s="86"/>
      <c r="U27" s="86"/>
      <c r="V27" s="86"/>
      <c r="W27" s="86"/>
      <c r="X27" s="86"/>
      <c r="Y27" s="86"/>
      <c r="Z27" s="48"/>
    </row>
    <row r="28" spans="1:26" ht="12.75" customHeight="1">
      <c r="A28" s="85" t="str">
        <f>B3B!A208</f>
        <v>Vote 4 - Corporate Services</v>
      </c>
      <c r="B28" s="73"/>
      <c r="C28" s="126">
        <f>B3B!C208</f>
        <v>71520720</v>
      </c>
      <c r="D28" s="171">
        <f>B3B!D208</f>
        <v>0</v>
      </c>
      <c r="E28" s="171">
        <f>B3B!E208</f>
        <v>0</v>
      </c>
      <c r="F28" s="171">
        <f>B3B!F208</f>
        <v>0</v>
      </c>
      <c r="G28" s="171">
        <f>B3B!G208</f>
        <v>0</v>
      </c>
      <c r="H28" s="171">
        <f>B3B!H208</f>
        <v>0</v>
      </c>
      <c r="I28" s="171">
        <f>B3B!I208</f>
        <v>8082561</v>
      </c>
      <c r="J28" s="75">
        <f t="shared" si="3"/>
        <v>8082561</v>
      </c>
      <c r="K28" s="75">
        <f t="shared" si="4"/>
        <v>79603281</v>
      </c>
      <c r="L28" s="171">
        <f>B3B!L208</f>
        <v>75136676</v>
      </c>
      <c r="M28" s="235">
        <f>B3B!M208</f>
        <v>78644867</v>
      </c>
      <c r="N28" s="874"/>
      <c r="O28" s="86"/>
      <c r="P28" s="86"/>
      <c r="Q28" s="86"/>
      <c r="R28" s="86"/>
      <c r="S28" s="86"/>
      <c r="T28" s="86"/>
      <c r="U28" s="86"/>
      <c r="V28" s="86"/>
      <c r="W28" s="86"/>
      <c r="X28" s="86"/>
      <c r="Y28" s="86"/>
      <c r="Z28" s="48"/>
    </row>
    <row r="29" spans="1:26" ht="12.75" customHeight="1">
      <c r="A29" s="85" t="str">
        <f>B3B!A219</f>
        <v>Vote 5 - Community Services</v>
      </c>
      <c r="B29" s="73"/>
      <c r="C29" s="126">
        <f>B3B!C219</f>
        <v>89943919</v>
      </c>
      <c r="D29" s="171">
        <f>B3B!D219</f>
        <v>0</v>
      </c>
      <c r="E29" s="171">
        <f>B3B!E219</f>
        <v>0</v>
      </c>
      <c r="F29" s="171">
        <f>B3B!F219</f>
        <v>0</v>
      </c>
      <c r="G29" s="171">
        <f>B3B!G219</f>
        <v>0</v>
      </c>
      <c r="H29" s="171">
        <f>B3B!H219</f>
        <v>0</v>
      </c>
      <c r="I29" s="171">
        <f>B3B!I219</f>
        <v>-10392</v>
      </c>
      <c r="J29" s="75">
        <f t="shared" si="3"/>
        <v>-10392</v>
      </c>
      <c r="K29" s="75">
        <f t="shared" si="4"/>
        <v>89933527</v>
      </c>
      <c r="L29" s="171">
        <f>B3B!L219</f>
        <v>93544419</v>
      </c>
      <c r="M29" s="235">
        <f>B3B!M219</f>
        <v>97332188</v>
      </c>
      <c r="N29" s="874"/>
      <c r="O29" s="86"/>
      <c r="P29" s="86"/>
      <c r="Q29" s="86"/>
      <c r="R29" s="86"/>
      <c r="S29" s="86"/>
      <c r="T29" s="86"/>
      <c r="U29" s="86"/>
      <c r="V29" s="86"/>
      <c r="W29" s="86"/>
      <c r="X29" s="86"/>
      <c r="Y29" s="86"/>
      <c r="Z29" s="48"/>
    </row>
    <row r="30" spans="1:26" ht="10.5" customHeight="1">
      <c r="A30" s="85" t="str">
        <f>B3B!A230</f>
        <v>Vote 6 - Community Services</v>
      </c>
      <c r="B30" s="73"/>
      <c r="C30" s="126">
        <f>B3B!C230</f>
        <v>61067475</v>
      </c>
      <c r="D30" s="171">
        <f>B3B!D230</f>
        <v>0</v>
      </c>
      <c r="E30" s="171">
        <f>B3B!E230</f>
        <v>0</v>
      </c>
      <c r="F30" s="171">
        <f>B3B!F230</f>
        <v>0</v>
      </c>
      <c r="G30" s="171">
        <f>B3B!G230</f>
        <v>0</v>
      </c>
      <c r="H30" s="171">
        <f>B3B!H230</f>
        <v>0</v>
      </c>
      <c r="I30" s="171">
        <f>B3B!I230</f>
        <v>-12683</v>
      </c>
      <c r="J30" s="75">
        <f t="shared" si="3"/>
        <v>-12683</v>
      </c>
      <c r="K30" s="75">
        <f t="shared" si="4"/>
        <v>61054792</v>
      </c>
      <c r="L30" s="171">
        <f>B3B!L230</f>
        <v>64182394</v>
      </c>
      <c r="M30" s="235">
        <f>B3B!M230</f>
        <v>67372051</v>
      </c>
      <c r="N30" s="874"/>
      <c r="O30" s="86"/>
      <c r="P30" s="86"/>
      <c r="Q30" s="86"/>
      <c r="R30" s="86"/>
      <c r="S30" s="86"/>
      <c r="T30" s="86"/>
      <c r="U30" s="86"/>
      <c r="V30" s="86"/>
      <c r="W30" s="86"/>
      <c r="X30" s="86"/>
      <c r="Y30" s="86"/>
      <c r="Z30" s="48"/>
    </row>
    <row r="31" spans="1:26" ht="12.75" customHeight="1">
      <c r="A31" s="85" t="str">
        <f>B3B!A241</f>
        <v>Vote 7 - Electrical Engineering Services</v>
      </c>
      <c r="B31" s="73"/>
      <c r="C31" s="126">
        <f>B3B!C241</f>
        <v>357038728</v>
      </c>
      <c r="D31" s="171">
        <f>B3B!D241</f>
        <v>0</v>
      </c>
      <c r="E31" s="171">
        <f>B3B!E241</f>
        <v>0</v>
      </c>
      <c r="F31" s="171">
        <f>B3B!F241</f>
        <v>0</v>
      </c>
      <c r="G31" s="171">
        <f>B3B!G241</f>
        <v>0</v>
      </c>
      <c r="H31" s="171">
        <f>B3B!H241</f>
        <v>0</v>
      </c>
      <c r="I31" s="171">
        <f>B3B!I241</f>
        <v>5187995</v>
      </c>
      <c r="J31" s="75">
        <f t="shared" si="3"/>
        <v>5187995</v>
      </c>
      <c r="K31" s="75">
        <f t="shared" si="4"/>
        <v>362226723</v>
      </c>
      <c r="L31" s="171">
        <f>B3B!L241</f>
        <v>383192450</v>
      </c>
      <c r="M31" s="235">
        <f>B3B!M241</f>
        <v>404319773</v>
      </c>
      <c r="N31" s="874"/>
      <c r="O31" s="86"/>
      <c r="P31" s="86"/>
      <c r="Q31" s="86"/>
      <c r="R31" s="86"/>
      <c r="S31" s="86"/>
      <c r="T31" s="86"/>
      <c r="U31" s="86"/>
      <c r="V31" s="86"/>
      <c r="W31" s="86"/>
      <c r="X31" s="86"/>
      <c r="Y31" s="86"/>
      <c r="Z31" s="48"/>
    </row>
    <row r="32" spans="1:26" ht="12.75" customHeight="1">
      <c r="A32" s="85" t="str">
        <f>B3B!A252</f>
        <v>Vote 8 - Engineering Services</v>
      </c>
      <c r="B32" s="73"/>
      <c r="C32" s="126">
        <f>B3B!C252</f>
        <v>112171584</v>
      </c>
      <c r="D32" s="171">
        <f>B3B!D252</f>
        <v>0</v>
      </c>
      <c r="E32" s="171">
        <f>B3B!E252</f>
        <v>0</v>
      </c>
      <c r="F32" s="171">
        <f>B3B!F252</f>
        <v>0</v>
      </c>
      <c r="G32" s="171">
        <f>B3B!G252</f>
        <v>0</v>
      </c>
      <c r="H32" s="171">
        <f>B3B!H252</f>
        <v>0</v>
      </c>
      <c r="I32" s="171">
        <f>B3B!I252</f>
        <v>-240056</v>
      </c>
      <c r="J32" s="75">
        <f t="shared" si="3"/>
        <v>-240056</v>
      </c>
      <c r="K32" s="75">
        <f t="shared" si="4"/>
        <v>111931528</v>
      </c>
      <c r="L32" s="171">
        <f>B3B!L252</f>
        <v>121962675</v>
      </c>
      <c r="M32" s="235">
        <f>B3B!M252</f>
        <v>127044875</v>
      </c>
      <c r="N32" s="874"/>
      <c r="O32" s="86"/>
      <c r="P32" s="86"/>
      <c r="Q32" s="86"/>
      <c r="R32" s="86"/>
      <c r="S32" s="86"/>
      <c r="T32" s="86"/>
      <c r="U32" s="86"/>
      <c r="V32" s="86"/>
      <c r="W32" s="86"/>
      <c r="X32" s="86"/>
      <c r="Y32" s="86"/>
      <c r="Z32" s="48"/>
    </row>
    <row r="33" spans="1:26" ht="12.75" customHeight="1">
      <c r="A33" s="85" t="str">
        <f>B3B!A263</f>
        <v>Vote 9 - [NAME OF VOTE 9]</v>
      </c>
      <c r="B33" s="73"/>
      <c r="C33" s="126">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74"/>
      <c r="O33" s="86"/>
      <c r="P33" s="86"/>
      <c r="Q33" s="86"/>
      <c r="R33" s="86"/>
      <c r="S33" s="86"/>
      <c r="T33" s="86"/>
      <c r="U33" s="86"/>
      <c r="V33" s="86"/>
      <c r="W33" s="86"/>
      <c r="X33" s="86"/>
      <c r="Y33" s="86"/>
      <c r="Z33" s="48"/>
    </row>
    <row r="34" spans="1:26" ht="12.75" customHeight="1">
      <c r="A34" s="85" t="str">
        <f>B3B!A274</f>
        <v>Vote 10 - [NAME OF VOTE 10]</v>
      </c>
      <c r="B34" s="73"/>
      <c r="C34" s="126">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74"/>
      <c r="O34" s="86"/>
      <c r="P34" s="86"/>
      <c r="Q34" s="86"/>
      <c r="R34" s="86"/>
      <c r="S34" s="86"/>
      <c r="T34" s="86"/>
      <c r="U34" s="86"/>
      <c r="V34" s="86"/>
      <c r="W34" s="86"/>
      <c r="X34" s="86"/>
      <c r="Y34" s="86"/>
      <c r="Z34" s="48"/>
    </row>
    <row r="35" spans="1:26" ht="12.75" customHeight="1">
      <c r="A35" s="85" t="str">
        <f>B3B!A285</f>
        <v>Vote 11 - [NAME OF VOTE 11]</v>
      </c>
      <c r="B35" s="73"/>
      <c r="C35" s="126">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74"/>
      <c r="O35" s="86"/>
      <c r="P35" s="86"/>
      <c r="Q35" s="86"/>
      <c r="R35" s="86"/>
      <c r="S35" s="86"/>
      <c r="T35" s="86"/>
      <c r="U35" s="86"/>
      <c r="V35" s="86"/>
      <c r="W35" s="86"/>
      <c r="X35" s="86"/>
      <c r="Y35" s="86"/>
      <c r="Z35" s="48"/>
    </row>
    <row r="36" spans="1:26" ht="12.75" customHeight="1">
      <c r="A36" s="85" t="str">
        <f>B3B!A296</f>
        <v>Vote 12 - [NAME OF VOTE 12]</v>
      </c>
      <c r="B36" s="73"/>
      <c r="C36" s="126">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74"/>
      <c r="O36" s="86"/>
      <c r="P36" s="86"/>
      <c r="Q36" s="86"/>
      <c r="R36" s="86"/>
      <c r="S36" s="86"/>
      <c r="T36" s="86"/>
      <c r="U36" s="86"/>
      <c r="V36" s="86"/>
      <c r="W36" s="86"/>
      <c r="X36" s="86"/>
      <c r="Y36" s="86"/>
      <c r="Z36" s="48"/>
    </row>
    <row r="37" spans="1:26" ht="12.75" customHeight="1">
      <c r="A37" s="85" t="str">
        <f>B3B!A307</f>
        <v>Vote 13 - [NAME OF VOTE 13]</v>
      </c>
      <c r="B37" s="73"/>
      <c r="C37" s="126">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74"/>
      <c r="O37" s="86"/>
      <c r="P37" s="86"/>
      <c r="Q37" s="86"/>
      <c r="R37" s="86"/>
      <c r="S37" s="86"/>
      <c r="T37" s="86"/>
      <c r="U37" s="86"/>
      <c r="V37" s="86"/>
      <c r="W37" s="86"/>
      <c r="X37" s="86"/>
      <c r="Y37" s="86"/>
      <c r="Z37" s="48"/>
    </row>
    <row r="38" spans="1:26" ht="12.75" customHeight="1">
      <c r="A38" s="85" t="str">
        <f>B3B!A318</f>
        <v>Vote 14 - [NAME OF VOTE 14]</v>
      </c>
      <c r="B38" s="73"/>
      <c r="C38" s="126">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74"/>
      <c r="O38" s="86"/>
      <c r="P38" s="86"/>
      <c r="Q38" s="86"/>
      <c r="R38" s="86"/>
      <c r="S38" s="86"/>
      <c r="T38" s="86"/>
      <c r="U38" s="86"/>
      <c r="V38" s="86"/>
      <c r="W38" s="86"/>
      <c r="X38" s="86"/>
      <c r="Y38" s="86"/>
      <c r="Z38" s="48"/>
    </row>
    <row r="39" spans="1:26" ht="12.75" customHeight="1">
      <c r="A39" s="85" t="str">
        <f>B3B!A329</f>
        <v>Vote 15 - [NAME OF VOTE 15]</v>
      </c>
      <c r="B39" s="73"/>
      <c r="C39" s="126">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74"/>
      <c r="O39" s="86"/>
      <c r="P39" s="86"/>
      <c r="Q39" s="86"/>
      <c r="R39" s="86"/>
      <c r="S39" s="86"/>
      <c r="T39" s="86"/>
      <c r="U39" s="86"/>
      <c r="V39" s="86"/>
      <c r="W39" s="86"/>
      <c r="X39" s="86"/>
      <c r="Y39" s="86"/>
      <c r="Z39" s="48"/>
    </row>
    <row r="40" spans="1:26" ht="12.75" customHeight="1">
      <c r="A40" s="78" t="s">
        <v>647</v>
      </c>
      <c r="B40" s="79">
        <v>2</v>
      </c>
      <c r="C40" s="80">
        <f>SUM(C25:C39)</f>
        <v>781353718</v>
      </c>
      <c r="D40" s="81">
        <f t="shared" ref="D40:I40" si="5">SUM(D25:D39)</f>
        <v>0</v>
      </c>
      <c r="E40" s="81">
        <f t="shared" si="5"/>
        <v>0</v>
      </c>
      <c r="F40" s="81">
        <f t="shared" si="5"/>
        <v>0</v>
      </c>
      <c r="G40" s="81">
        <f t="shared" si="5"/>
        <v>0</v>
      </c>
      <c r="H40" s="81">
        <f t="shared" si="5"/>
        <v>0</v>
      </c>
      <c r="I40" s="81">
        <f t="shared" si="5"/>
        <v>18171001</v>
      </c>
      <c r="J40" s="81">
        <f>SUM(J25:J39)</f>
        <v>18171001</v>
      </c>
      <c r="K40" s="81">
        <f>SUM(K25:K39)</f>
        <v>799524719</v>
      </c>
      <c r="L40" s="81">
        <f>SUM(L25:L39)</f>
        <v>839414422</v>
      </c>
      <c r="M40" s="82">
        <f>SUM(M25:M39)</f>
        <v>881658577</v>
      </c>
      <c r="N40" s="566"/>
      <c r="O40" s="53"/>
      <c r="P40" s="53"/>
      <c r="Q40" s="53"/>
      <c r="R40" s="53"/>
      <c r="S40" s="53"/>
      <c r="T40" s="53"/>
      <c r="U40" s="53"/>
      <c r="V40" s="53"/>
      <c r="W40" s="53"/>
      <c r="X40" s="53"/>
      <c r="Y40" s="53"/>
      <c r="Z40" s="48"/>
    </row>
    <row r="41" spans="1:26" ht="12.75" customHeight="1">
      <c r="A41" s="87" t="str">
        <f>result</f>
        <v>Surplus/ (Deficit) for the year</v>
      </c>
      <c r="B41" s="88">
        <v>2</v>
      </c>
      <c r="C41" s="89">
        <f>C22-C40</f>
        <v>69707744</v>
      </c>
      <c r="D41" s="90">
        <f t="shared" ref="D41:M41" si="6">D22-D40</f>
        <v>0</v>
      </c>
      <c r="E41" s="90">
        <f t="shared" si="6"/>
        <v>0</v>
      </c>
      <c r="F41" s="90">
        <f t="shared" si="6"/>
        <v>0</v>
      </c>
      <c r="G41" s="90">
        <f t="shared" si="6"/>
        <v>0</v>
      </c>
      <c r="H41" s="90">
        <f t="shared" si="6"/>
        <v>20350000</v>
      </c>
      <c r="I41" s="90">
        <f t="shared" si="6"/>
        <v>20576613</v>
      </c>
      <c r="J41" s="90">
        <f t="shared" si="6"/>
        <v>40926613</v>
      </c>
      <c r="K41" s="90">
        <f t="shared" si="6"/>
        <v>110634357</v>
      </c>
      <c r="L41" s="90">
        <f t="shared" si="6"/>
        <v>80775264</v>
      </c>
      <c r="M41" s="91">
        <f t="shared" si="6"/>
        <v>127519427</v>
      </c>
      <c r="N41" s="566"/>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1180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57" t="s">
        <v>1181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324" t="s">
        <v>1106</v>
      </c>
      <c r="B45" s="1324"/>
      <c r="C45" s="1324"/>
      <c r="D45" s="1324"/>
      <c r="E45" s="1324"/>
      <c r="F45" s="1324"/>
      <c r="G45" s="1324"/>
      <c r="H45" s="1324"/>
      <c r="I45" s="1324"/>
      <c r="J45" s="1324"/>
      <c r="K45" s="1324"/>
      <c r="L45" s="1324"/>
      <c r="M45" s="1324"/>
    </row>
    <row r="46" spans="1:26" ht="25.5" customHeight="1">
      <c r="A46" s="1324" t="s">
        <v>1175</v>
      </c>
      <c r="B46" s="1324"/>
      <c r="C46" s="1324"/>
      <c r="D46" s="1324"/>
      <c r="E46" s="1324"/>
      <c r="F46" s="1324"/>
      <c r="G46" s="1324"/>
      <c r="H46" s="1324"/>
      <c r="I46" s="1324"/>
      <c r="J46" s="1324"/>
      <c r="K46" s="1324"/>
      <c r="L46" s="1324"/>
      <c r="M46" s="1324"/>
    </row>
    <row r="47" spans="1:26" ht="12.75" customHeight="1">
      <c r="A47" s="1318" t="s">
        <v>1176</v>
      </c>
      <c r="B47" s="1318"/>
      <c r="C47" s="1318"/>
      <c r="D47" s="1318"/>
      <c r="E47" s="1318"/>
      <c r="F47" s="1318"/>
      <c r="G47" s="1318"/>
      <c r="H47" s="1318"/>
      <c r="I47" s="1318"/>
      <c r="J47" s="1318"/>
      <c r="K47" s="1318"/>
      <c r="L47" s="1318"/>
      <c r="M47" s="1318"/>
    </row>
    <row r="48" spans="1:26" ht="12.75" customHeight="1">
      <c r="A48" s="1318" t="s">
        <v>1177</v>
      </c>
      <c r="B48" s="1318"/>
      <c r="C48" s="1318"/>
      <c r="D48" s="1318"/>
      <c r="E48" s="1318"/>
      <c r="F48" s="1318"/>
      <c r="G48" s="1318"/>
      <c r="H48" s="1318"/>
      <c r="I48" s="1318"/>
      <c r="J48" s="1318"/>
      <c r="K48" s="1318"/>
      <c r="L48" s="1318"/>
      <c r="M48" s="1318"/>
    </row>
    <row r="49" spans="1:13" ht="12.75" customHeight="1">
      <c r="A49" s="99" t="s">
        <v>1178</v>
      </c>
      <c r="B49" s="93"/>
      <c r="C49" s="96"/>
      <c r="D49" s="96"/>
      <c r="E49" s="96"/>
      <c r="F49" s="96"/>
      <c r="G49" s="96"/>
      <c r="H49" s="96"/>
      <c r="I49" s="96"/>
      <c r="J49" s="96"/>
      <c r="K49" s="96"/>
      <c r="L49" s="96"/>
      <c r="M49" s="96"/>
    </row>
    <row r="50" spans="1:13" ht="27.75" customHeight="1">
      <c r="A50" s="1318" t="s">
        <v>1179</v>
      </c>
      <c r="B50" s="1318"/>
      <c r="C50" s="1318"/>
      <c r="D50" s="1318"/>
      <c r="E50" s="1318"/>
      <c r="F50" s="1318"/>
      <c r="G50" s="1318"/>
      <c r="H50" s="1318"/>
      <c r="I50" s="1318"/>
      <c r="J50" s="1318"/>
      <c r="K50" s="1318"/>
      <c r="L50" s="1318"/>
      <c r="M50" s="1318"/>
    </row>
    <row r="51" spans="1:13" ht="12.75" customHeight="1">
      <c r="A51" s="99" t="s">
        <v>648</v>
      </c>
      <c r="B51" s="93"/>
      <c r="C51" s="96"/>
      <c r="D51" s="96"/>
      <c r="E51" s="96"/>
      <c r="F51" s="96"/>
      <c r="G51" s="96"/>
      <c r="H51" s="96"/>
      <c r="I51" s="96"/>
      <c r="J51" s="96"/>
      <c r="K51" s="96"/>
      <c r="L51" s="96"/>
      <c r="M51" s="96"/>
    </row>
    <row r="52" spans="1:13" ht="12.75" customHeight="1">
      <c r="A52" s="1318" t="s">
        <v>649</v>
      </c>
      <c r="B52" s="1318"/>
      <c r="C52" s="1318"/>
      <c r="D52" s="1318"/>
      <c r="E52" s="1318"/>
      <c r="F52" s="1318"/>
      <c r="G52" s="1318"/>
      <c r="H52" s="1318"/>
      <c r="I52" s="1318"/>
      <c r="J52" s="1318"/>
      <c r="K52" s="1318"/>
      <c r="L52" s="1318"/>
      <c r="M52" s="1318"/>
    </row>
    <row r="53" spans="1:13" ht="12.75" customHeight="1">
      <c r="A53" s="48"/>
    </row>
    <row r="54" spans="1:13" ht="12.75" customHeight="1">
      <c r="A54" s="101" t="s">
        <v>650</v>
      </c>
      <c r="C54" s="351">
        <f>C22-'B4-FinPerf RE'!C63</f>
        <v>-0.37999999523162842</v>
      </c>
      <c r="D54" s="351">
        <f>D22-'B4-FinPerf RE'!D63</f>
        <v>0</v>
      </c>
      <c r="E54" s="351">
        <f>E22-'B4-FinPerf RE'!E63</f>
        <v>0</v>
      </c>
      <c r="F54" s="351">
        <f>F22-'B4-FinPerf RE'!F63</f>
        <v>0</v>
      </c>
      <c r="G54" s="351">
        <f>G22-'B4-FinPerf RE'!G63</f>
        <v>0</v>
      </c>
      <c r="H54" s="351">
        <f>H22-'B4-FinPerf RE'!H63</f>
        <v>0</v>
      </c>
      <c r="I54" s="351">
        <f>I22-'B4-FinPerf RE'!I63</f>
        <v>0</v>
      </c>
      <c r="J54" s="351">
        <f>J22-'B4-FinPerf RE'!J63</f>
        <v>0</v>
      </c>
      <c r="K54" s="351">
        <f>K22-'B4-FinPerf RE'!K63</f>
        <v>-0.37999999523162842</v>
      </c>
      <c r="L54" s="351">
        <f>L22-'B4-FinPerf RE'!L63</f>
        <v>0.30999994277954102</v>
      </c>
      <c r="M54" s="351">
        <f>M22-'B4-FinPerf RE'!M63</f>
        <v>-0.6799999475479126</v>
      </c>
    </row>
    <row r="55" spans="1:13" ht="12.75" customHeight="1">
      <c r="A55" s="101" t="s">
        <v>651</v>
      </c>
      <c r="C55" s="351">
        <f>C40-'B4-FinPerf RE'!C38</f>
        <v>-1</v>
      </c>
      <c r="D55" s="351">
        <f>D40-'B4-FinPerf RE'!D38</f>
        <v>0</v>
      </c>
      <c r="E55" s="351">
        <f>E40-'B4-FinPerf RE'!E38</f>
        <v>0</v>
      </c>
      <c r="F55" s="351">
        <f>F40-'B4-FinPerf RE'!F38</f>
        <v>0</v>
      </c>
      <c r="G55" s="351">
        <f>G40-'B4-FinPerf RE'!G38</f>
        <v>0</v>
      </c>
      <c r="H55" s="351">
        <f>H40-'B4-FinPerf RE'!H38</f>
        <v>0</v>
      </c>
      <c r="I55" s="351">
        <f>I40-'B4-FinPerf RE'!I38</f>
        <v>1</v>
      </c>
      <c r="J55" s="351">
        <f>J40-'B4-FinPerf RE'!J38</f>
        <v>1</v>
      </c>
      <c r="K55" s="351">
        <f>K40-'B4-FinPerf RE'!K38</f>
        <v>0</v>
      </c>
      <c r="L55" s="351">
        <f>L40-'B4-FinPerf RE'!L38</f>
        <v>178.52800011634827</v>
      </c>
      <c r="M55" s="351">
        <f>M40-'B4-FinPerf RE'!M38</f>
        <v>-7.9811000823974609</v>
      </c>
    </row>
    <row r="56" spans="1:13" ht="11.25" customHeight="1">
      <c r="A56" s="48"/>
      <c r="B56" s="869"/>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mergeCells count="9">
    <mergeCell ref="A52:M52"/>
    <mergeCell ref="A48:M48"/>
    <mergeCell ref="A50:M50"/>
    <mergeCell ref="A2:A3"/>
    <mergeCell ref="B2:B5"/>
    <mergeCell ref="C2:K2"/>
    <mergeCell ref="A45:M45"/>
    <mergeCell ref="A46:M46"/>
    <mergeCell ref="A47:M47"/>
  </mergeCells>
  <phoneticPr fontId="17"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2" enableFormatConditionsCalculation="0">
    <tabColor indexed="44"/>
  </sheetPr>
  <dimension ref="A1:M346"/>
  <sheetViews>
    <sheetView showGridLines="0" showZeros="0" topLeftCell="B173" workbookViewId="0">
      <selection activeCell="M188" sqref="M188"/>
    </sheetView>
  </sheetViews>
  <sheetFormatPr defaultRowHeight="12.75"/>
  <cols>
    <col min="1" max="1" width="27.42578125" customWidth="1"/>
    <col min="2" max="2" width="5.28515625" customWidth="1"/>
    <col min="3" max="13" width="10.140625" customWidth="1"/>
  </cols>
  <sheetData>
    <row r="1" spans="1:13" ht="13.5">
      <c r="A1" s="57" t="str">
        <f>muni&amp;" - "&amp;_ADJ2&amp;" - B"&amp;" - "&amp;Date</f>
        <v>LIM333 Greater Tzaneen - Table B3 Consolidated Adjustments Budget Financial Performance (revenue and expenditure by municipal vote) - B - 26 FEBRUARY 2014</v>
      </c>
      <c r="B1" s="5"/>
      <c r="C1" s="58"/>
      <c r="D1" s="5"/>
      <c r="E1" s="5"/>
      <c r="F1" s="5"/>
      <c r="G1" s="5"/>
      <c r="H1" s="5"/>
      <c r="I1" s="5"/>
      <c r="J1" s="5"/>
      <c r="K1" s="5"/>
      <c r="L1" s="5"/>
      <c r="M1" s="5"/>
    </row>
    <row r="2" spans="1:13" ht="25.5">
      <c r="A2" s="1327" t="str">
        <f>Vdesc</f>
        <v>Vote Description</v>
      </c>
      <c r="B2" s="1322" t="str">
        <f>head27</f>
        <v>Ref</v>
      </c>
      <c r="C2" s="1319" t="str">
        <f>Head2</f>
        <v>Budget Year 2013/14</v>
      </c>
      <c r="D2" s="1320"/>
      <c r="E2" s="1320"/>
      <c r="F2" s="1320"/>
      <c r="G2" s="1320"/>
      <c r="H2" s="1320"/>
      <c r="I2" s="1320"/>
      <c r="J2" s="1320"/>
      <c r="K2" s="1321"/>
      <c r="L2" s="60" t="str">
        <f>Head10</f>
        <v>Budget Year +1 2014/15</v>
      </c>
      <c r="M2" s="61" t="str">
        <f>Head11</f>
        <v>Budget Year +2 2015/16</v>
      </c>
    </row>
    <row r="3" spans="1:13" ht="25.5">
      <c r="A3" s="1328"/>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642</v>
      </c>
      <c r="B4" s="1323"/>
      <c r="C4" s="65"/>
      <c r="D4" s="15">
        <v>3</v>
      </c>
      <c r="E4" s="15">
        <v>4</v>
      </c>
      <c r="F4" s="15">
        <v>5</v>
      </c>
      <c r="G4" s="15">
        <v>6</v>
      </c>
      <c r="H4" s="15">
        <v>7</v>
      </c>
      <c r="I4" s="15">
        <v>8</v>
      </c>
      <c r="J4" s="15">
        <v>9</v>
      </c>
      <c r="K4" s="15">
        <v>10</v>
      </c>
      <c r="L4" s="15"/>
      <c r="M4" s="17"/>
    </row>
    <row r="5" spans="1:13" ht="13.5">
      <c r="A5" s="18" t="s">
        <v>643</v>
      </c>
      <c r="B5" s="1332"/>
      <c r="C5" s="124" t="s">
        <v>583</v>
      </c>
      <c r="D5" s="20" t="s">
        <v>584</v>
      </c>
      <c r="E5" s="20" t="s">
        <v>585</v>
      </c>
      <c r="F5" s="21" t="s">
        <v>586</v>
      </c>
      <c r="G5" s="21" t="s">
        <v>587</v>
      </c>
      <c r="H5" s="21" t="s">
        <v>588</v>
      </c>
      <c r="I5" s="22" t="s">
        <v>589</v>
      </c>
      <c r="J5" s="22" t="s">
        <v>590</v>
      </c>
      <c r="K5" s="22" t="s">
        <v>591</v>
      </c>
      <c r="L5" s="70"/>
      <c r="M5" s="71"/>
    </row>
    <row r="6" spans="1:13" ht="13.5">
      <c r="A6" s="757" t="s">
        <v>644</v>
      </c>
      <c r="B6" s="962">
        <v>1</v>
      </c>
      <c r="C6" s="795"/>
      <c r="D6" s="796"/>
      <c r="E6" s="796"/>
      <c r="F6" s="796"/>
      <c r="G6" s="796"/>
      <c r="H6" s="796"/>
      <c r="I6" s="796"/>
      <c r="J6" s="796"/>
      <c r="K6" s="796"/>
      <c r="L6" s="758"/>
      <c r="M6" s="787"/>
    </row>
    <row r="7" spans="1:13" ht="13.5">
      <c r="A7" s="774" t="str">
        <f>'Org structure'!A2</f>
        <v>Vote 1 - Municipal Manager</v>
      </c>
      <c r="B7" s="963"/>
      <c r="C7" s="761">
        <f>SUM(C8:C17)</f>
        <v>0</v>
      </c>
      <c r="D7" s="760">
        <f t="shared" ref="D7:I7" si="0">SUM(D8:D17)</f>
        <v>0</v>
      </c>
      <c r="E7" s="760">
        <f t="shared" si="0"/>
        <v>0</v>
      </c>
      <c r="F7" s="760">
        <f t="shared" si="0"/>
        <v>0</v>
      </c>
      <c r="G7" s="760">
        <f t="shared" si="0"/>
        <v>0</v>
      </c>
      <c r="H7" s="760">
        <f t="shared" si="0"/>
        <v>0</v>
      </c>
      <c r="I7" s="760">
        <f t="shared" si="0"/>
        <v>0</v>
      </c>
      <c r="J7" s="75">
        <f>SUM(E7:I7)</f>
        <v>0</v>
      </c>
      <c r="K7" s="75">
        <f>IF(D7=0,C7+J7,D7+J7)</f>
        <v>0</v>
      </c>
      <c r="L7" s="760">
        <f>SUM(L8:L17)</f>
        <v>0</v>
      </c>
      <c r="M7" s="788">
        <f>SUM(M8:M17)</f>
        <v>0</v>
      </c>
    </row>
    <row r="8" spans="1:13" ht="13.5">
      <c r="A8" s="777" t="str">
        <f>'Org structure'!E3</f>
        <v>1.1 - Administration Municipal Manager</v>
      </c>
      <c r="B8" s="964"/>
      <c r="C8" s="763"/>
      <c r="D8" s="762"/>
      <c r="E8" s="762"/>
      <c r="F8" s="762"/>
      <c r="G8" s="762"/>
      <c r="H8" s="762"/>
      <c r="I8" s="762"/>
      <c r="J8" s="75">
        <f t="shared" ref="J8:J71" si="1">SUM(E8:I8)</f>
        <v>0</v>
      </c>
      <c r="K8" s="75">
        <f t="shared" ref="K8:K71" si="2">IF(D8=0,C8+J8,D8+J8)</f>
        <v>0</v>
      </c>
      <c r="L8" s="762"/>
      <c r="M8" s="764"/>
    </row>
    <row r="9" spans="1:13" ht="13.5">
      <c r="A9" s="777" t="str">
        <f>'Org structure'!E4</f>
        <v>1.2 - Internal Audit</v>
      </c>
      <c r="B9" s="964"/>
      <c r="C9" s="763"/>
      <c r="D9" s="762"/>
      <c r="E9" s="762"/>
      <c r="F9" s="762"/>
      <c r="G9" s="762"/>
      <c r="H9" s="762"/>
      <c r="I9" s="762"/>
      <c r="J9" s="75">
        <f t="shared" si="1"/>
        <v>0</v>
      </c>
      <c r="K9" s="75">
        <f t="shared" si="2"/>
        <v>0</v>
      </c>
      <c r="L9" s="762"/>
      <c r="M9" s="764"/>
    </row>
    <row r="10" spans="1:13" ht="13.5">
      <c r="A10" s="777" t="str">
        <f>'Org structure'!E5</f>
        <v>1.4 - Strategic Support</v>
      </c>
      <c r="B10" s="964"/>
      <c r="C10" s="763"/>
      <c r="D10" s="762"/>
      <c r="E10" s="762"/>
      <c r="F10" s="762"/>
      <c r="G10" s="762"/>
      <c r="H10" s="762"/>
      <c r="I10" s="762"/>
      <c r="J10" s="75">
        <f t="shared" si="1"/>
        <v>0</v>
      </c>
      <c r="K10" s="75">
        <f t="shared" si="2"/>
        <v>0</v>
      </c>
      <c r="L10" s="762"/>
      <c r="M10" s="764"/>
    </row>
    <row r="11" spans="1:13" ht="13.5">
      <c r="A11" s="777" t="str">
        <f>'Org structure'!E6</f>
        <v>1.5 - Risk Management</v>
      </c>
      <c r="B11" s="964"/>
      <c r="C11" s="763"/>
      <c r="D11" s="762"/>
      <c r="E11" s="762"/>
      <c r="F11" s="762"/>
      <c r="G11" s="762"/>
      <c r="H11" s="762"/>
      <c r="I11" s="762"/>
      <c r="J11" s="75">
        <f t="shared" si="1"/>
        <v>0</v>
      </c>
      <c r="K11" s="75">
        <f t="shared" si="2"/>
        <v>0</v>
      </c>
      <c r="L11" s="762"/>
      <c r="M11" s="764"/>
    </row>
    <row r="12" spans="1:13" ht="13.5">
      <c r="A12" s="777" t="str">
        <f>'Org structure'!E7</f>
        <v>1.3 - Disaster Management</v>
      </c>
      <c r="B12" s="964"/>
      <c r="C12" s="763"/>
      <c r="D12" s="762"/>
      <c r="E12" s="762"/>
      <c r="F12" s="762"/>
      <c r="G12" s="762"/>
      <c r="H12" s="762"/>
      <c r="I12" s="762"/>
      <c r="J12" s="75">
        <f t="shared" si="1"/>
        <v>0</v>
      </c>
      <c r="K12" s="75">
        <f t="shared" si="2"/>
        <v>0</v>
      </c>
      <c r="L12" s="762"/>
      <c r="M12" s="764"/>
    </row>
    <row r="13" spans="1:13" ht="13.5">
      <c r="A13" s="777">
        <f>'Org structure'!E8</f>
        <v>0</v>
      </c>
      <c r="B13" s="964"/>
      <c r="C13" s="763"/>
      <c r="D13" s="762"/>
      <c r="E13" s="762"/>
      <c r="F13" s="762"/>
      <c r="G13" s="762"/>
      <c r="H13" s="762"/>
      <c r="I13" s="762"/>
      <c r="J13" s="75">
        <f t="shared" si="1"/>
        <v>0</v>
      </c>
      <c r="K13" s="75">
        <f t="shared" si="2"/>
        <v>0</v>
      </c>
      <c r="L13" s="762"/>
      <c r="M13" s="764"/>
    </row>
    <row r="14" spans="1:13" ht="13.5">
      <c r="A14" s="777">
        <f>'Org structure'!E9</f>
        <v>0</v>
      </c>
      <c r="B14" s="964"/>
      <c r="C14" s="763"/>
      <c r="D14" s="762"/>
      <c r="E14" s="762"/>
      <c r="F14" s="762"/>
      <c r="G14" s="762"/>
      <c r="H14" s="762"/>
      <c r="I14" s="762"/>
      <c r="J14" s="75">
        <f t="shared" si="1"/>
        <v>0</v>
      </c>
      <c r="K14" s="75">
        <f t="shared" si="2"/>
        <v>0</v>
      </c>
      <c r="L14" s="762"/>
      <c r="M14" s="764"/>
    </row>
    <row r="15" spans="1:13" ht="13.5">
      <c r="A15" s="777">
        <f>'Org structure'!E10</f>
        <v>0</v>
      </c>
      <c r="B15" s="964"/>
      <c r="C15" s="763"/>
      <c r="D15" s="762"/>
      <c r="E15" s="762"/>
      <c r="F15" s="762"/>
      <c r="G15" s="762"/>
      <c r="H15" s="762"/>
      <c r="I15" s="762"/>
      <c r="J15" s="75">
        <f t="shared" si="1"/>
        <v>0</v>
      </c>
      <c r="K15" s="75">
        <f t="shared" si="2"/>
        <v>0</v>
      </c>
      <c r="L15" s="762"/>
      <c r="M15" s="764"/>
    </row>
    <row r="16" spans="1:13" ht="13.5">
      <c r="A16" s="777">
        <f>'Org structure'!E11</f>
        <v>0</v>
      </c>
      <c r="B16" s="964"/>
      <c r="C16" s="763"/>
      <c r="D16" s="762"/>
      <c r="E16" s="762"/>
      <c r="F16" s="762"/>
      <c r="G16" s="762"/>
      <c r="H16" s="762"/>
      <c r="I16" s="762"/>
      <c r="J16" s="75">
        <f t="shared" si="1"/>
        <v>0</v>
      </c>
      <c r="K16" s="75">
        <f t="shared" si="2"/>
        <v>0</v>
      </c>
      <c r="L16" s="762"/>
      <c r="M16" s="764"/>
    </row>
    <row r="17" spans="1:13" ht="13.5">
      <c r="A17" s="777">
        <f>'Org structure'!E12</f>
        <v>0</v>
      </c>
      <c r="B17" s="964"/>
      <c r="C17" s="763"/>
      <c r="D17" s="762"/>
      <c r="E17" s="762"/>
      <c r="F17" s="762"/>
      <c r="G17" s="762"/>
      <c r="H17" s="762"/>
      <c r="I17" s="762"/>
      <c r="J17" s="75">
        <f t="shared" si="1"/>
        <v>0</v>
      </c>
      <c r="K17" s="75">
        <f t="shared" si="2"/>
        <v>0</v>
      </c>
      <c r="L17" s="762"/>
      <c r="M17" s="764"/>
    </row>
    <row r="18" spans="1:13" ht="13.5">
      <c r="A18" s="774" t="str">
        <f>'Org structure'!A3</f>
        <v>Vote 2 - Planning &amp; Economic Development</v>
      </c>
      <c r="B18" s="963"/>
      <c r="C18" s="761">
        <f>SUM(C19:C28)</f>
        <v>5513655</v>
      </c>
      <c r="D18" s="760">
        <f t="shared" ref="D18:I18" si="3">SUM(D19:D28)</f>
        <v>0</v>
      </c>
      <c r="E18" s="760">
        <f t="shared" si="3"/>
        <v>0</v>
      </c>
      <c r="F18" s="760">
        <f t="shared" si="3"/>
        <v>0</v>
      </c>
      <c r="G18" s="760">
        <f t="shared" si="3"/>
        <v>0</v>
      </c>
      <c r="H18" s="760">
        <f t="shared" si="3"/>
        <v>18350000</v>
      </c>
      <c r="I18" s="760">
        <f t="shared" si="3"/>
        <v>5500000</v>
      </c>
      <c r="J18" s="75">
        <f t="shared" si="1"/>
        <v>23850000</v>
      </c>
      <c r="K18" s="75">
        <f t="shared" si="2"/>
        <v>29363655</v>
      </c>
      <c r="L18" s="760">
        <f>SUM(L19:L28)</f>
        <v>7038824</v>
      </c>
      <c r="M18" s="788">
        <f>SUM(M19:M28)</f>
        <v>7565226</v>
      </c>
    </row>
    <row r="19" spans="1:13" ht="13.5">
      <c r="A19" s="777" t="str">
        <f>'Org structure'!E14</f>
        <v>2.1 - Administration Strategy &amp; Development</v>
      </c>
      <c r="B19" s="964"/>
      <c r="C19" s="763">
        <v>5000000</v>
      </c>
      <c r="D19" s="762"/>
      <c r="E19" s="762"/>
      <c r="F19" s="762"/>
      <c r="G19" s="762"/>
      <c r="H19" s="762">
        <v>18350000</v>
      </c>
      <c r="I19" s="762"/>
      <c r="J19" s="75">
        <f t="shared" si="1"/>
        <v>18350000</v>
      </c>
      <c r="K19" s="75">
        <f t="shared" si="2"/>
        <v>23350000</v>
      </c>
      <c r="L19" s="762" t="s">
        <v>1777</v>
      </c>
      <c r="M19" s="762" t="s">
        <v>1777</v>
      </c>
    </row>
    <row r="20" spans="1:13" ht="13.5">
      <c r="A20" s="777" t="str">
        <f>'Org structure'!E15</f>
        <v>2.2 - Local Economic Development</v>
      </c>
      <c r="B20" s="964"/>
      <c r="C20" s="763">
        <v>413655</v>
      </c>
      <c r="D20" s="762"/>
      <c r="E20" s="762"/>
      <c r="F20" s="762"/>
      <c r="G20" s="762"/>
      <c r="H20" s="762"/>
      <c r="I20" s="762">
        <v>5500000</v>
      </c>
      <c r="J20" s="75">
        <f t="shared" si="1"/>
        <v>5500000</v>
      </c>
      <c r="K20" s="75">
        <f t="shared" si="2"/>
        <v>5913655</v>
      </c>
      <c r="L20" s="762">
        <f>433924+6500000</f>
        <v>6933924</v>
      </c>
      <c r="M20" s="762">
        <f>455186+7000000</f>
        <v>7455186</v>
      </c>
    </row>
    <row r="21" spans="1:13" ht="13.5">
      <c r="A21" s="777" t="str">
        <f>'Org structure'!E16</f>
        <v>2.3 - Town &amp; Regional Planning</v>
      </c>
      <c r="B21" s="964"/>
      <c r="C21" s="763">
        <v>100000</v>
      </c>
      <c r="D21" s="762"/>
      <c r="E21" s="762"/>
      <c r="F21" s="762"/>
      <c r="G21" s="762"/>
      <c r="H21" s="762"/>
      <c r="I21" s="762"/>
      <c r="J21" s="75">
        <f t="shared" si="1"/>
        <v>0</v>
      </c>
      <c r="K21" s="75">
        <f t="shared" si="2"/>
        <v>100000</v>
      </c>
      <c r="L21" s="762">
        <v>104900</v>
      </c>
      <c r="M21" s="762">
        <v>110040</v>
      </c>
    </row>
    <row r="22" spans="1:13" ht="13.5">
      <c r="A22" s="777" t="str">
        <f>'Org structure'!E17</f>
        <v>2.4 - Housing Administration</v>
      </c>
      <c r="B22" s="964"/>
      <c r="C22" s="763"/>
      <c r="D22" s="762"/>
      <c r="E22" s="762"/>
      <c r="F22" s="762"/>
      <c r="G22" s="762"/>
      <c r="H22" s="762"/>
      <c r="I22" s="762"/>
      <c r="J22" s="75">
        <f t="shared" si="1"/>
        <v>0</v>
      </c>
      <c r="K22" s="75">
        <f t="shared" si="2"/>
        <v>0</v>
      </c>
      <c r="L22" s="762"/>
      <c r="M22" s="764"/>
    </row>
    <row r="23" spans="1:13" ht="13.5">
      <c r="A23" s="777" t="str">
        <f>'Org structure'!E18</f>
        <v>2.5 - SATELITE OFFICE: NKOWANKOWA</v>
      </c>
      <c r="B23" s="964"/>
      <c r="C23" s="763"/>
      <c r="D23" s="762"/>
      <c r="E23" s="762"/>
      <c r="F23" s="762"/>
      <c r="G23" s="762"/>
      <c r="H23" s="762"/>
      <c r="I23" s="762"/>
      <c r="J23" s="75">
        <f t="shared" si="1"/>
        <v>0</v>
      </c>
      <c r="K23" s="75">
        <f t="shared" si="2"/>
        <v>0</v>
      </c>
      <c r="L23" s="762"/>
      <c r="M23" s="764"/>
    </row>
    <row r="24" spans="1:13" ht="13.5">
      <c r="A24" s="777" t="str">
        <f>'Org structure'!E19</f>
        <v>2.6 - SATELITE OFFICE: LENYENYE</v>
      </c>
      <c r="B24" s="964"/>
      <c r="C24" s="763"/>
      <c r="D24" s="762"/>
      <c r="E24" s="762"/>
      <c r="F24" s="762"/>
      <c r="G24" s="762"/>
      <c r="H24" s="762"/>
      <c r="I24" s="762"/>
      <c r="J24" s="75">
        <f t="shared" si="1"/>
        <v>0</v>
      </c>
      <c r="K24" s="75">
        <f t="shared" si="2"/>
        <v>0</v>
      </c>
      <c r="L24" s="762"/>
      <c r="M24" s="764"/>
    </row>
    <row r="25" spans="1:13" ht="13.5">
      <c r="A25" s="777" t="str">
        <f>'Org structure'!E20</f>
        <v>2.7 - SATELITE OFFICE: LETSITELE</v>
      </c>
      <c r="B25" s="964"/>
      <c r="C25" s="763"/>
      <c r="D25" s="762"/>
      <c r="E25" s="762"/>
      <c r="F25" s="762"/>
      <c r="G25" s="762"/>
      <c r="H25" s="762"/>
      <c r="I25" s="762"/>
      <c r="J25" s="75">
        <f t="shared" si="1"/>
        <v>0</v>
      </c>
      <c r="K25" s="75">
        <f t="shared" si="2"/>
        <v>0</v>
      </c>
      <c r="L25" s="762"/>
      <c r="M25" s="764"/>
    </row>
    <row r="26" spans="1:13" ht="13.5">
      <c r="A26" s="777">
        <f>'Org structure'!E21</f>
        <v>0</v>
      </c>
      <c r="B26" s="964"/>
      <c r="C26" s="763"/>
      <c r="D26" s="762"/>
      <c r="E26" s="762"/>
      <c r="F26" s="762"/>
      <c r="G26" s="762"/>
      <c r="H26" s="762"/>
      <c r="I26" s="762"/>
      <c r="J26" s="75">
        <f t="shared" si="1"/>
        <v>0</v>
      </c>
      <c r="K26" s="75">
        <f t="shared" si="2"/>
        <v>0</v>
      </c>
      <c r="L26" s="762"/>
      <c r="M26" s="764"/>
    </row>
    <row r="27" spans="1:13" ht="13.5">
      <c r="A27" s="777">
        <f>'Org structure'!E22</f>
        <v>0</v>
      </c>
      <c r="B27" s="964"/>
      <c r="C27" s="763"/>
      <c r="D27" s="762"/>
      <c r="E27" s="762"/>
      <c r="F27" s="762"/>
      <c r="G27" s="762"/>
      <c r="H27" s="762"/>
      <c r="I27" s="762"/>
      <c r="J27" s="75">
        <f t="shared" si="1"/>
        <v>0</v>
      </c>
      <c r="K27" s="75">
        <f t="shared" si="2"/>
        <v>0</v>
      </c>
      <c r="L27" s="762"/>
      <c r="M27" s="764"/>
    </row>
    <row r="28" spans="1:13" ht="13.5">
      <c r="A28" s="777">
        <f>'Org structure'!E23</f>
        <v>0</v>
      </c>
      <c r="B28" s="964"/>
      <c r="C28" s="763"/>
      <c r="D28" s="762"/>
      <c r="E28" s="762"/>
      <c r="F28" s="762"/>
      <c r="G28" s="762"/>
      <c r="H28" s="762"/>
      <c r="I28" s="762"/>
      <c r="J28" s="75">
        <f t="shared" si="1"/>
        <v>0</v>
      </c>
      <c r="K28" s="75">
        <f t="shared" si="2"/>
        <v>0</v>
      </c>
      <c r="L28" s="762"/>
      <c r="M28" s="764"/>
    </row>
    <row r="29" spans="1:13" ht="13.5">
      <c r="A29" s="774" t="str">
        <f>'Org structure'!A4</f>
        <v>Vote 3 - Financial Services</v>
      </c>
      <c r="B29" s="963"/>
      <c r="C29" s="761">
        <f t="shared" ref="C29:I29" si="4">SUM(C30:C39)</f>
        <v>287832278</v>
      </c>
      <c r="D29" s="760">
        <f t="shared" si="4"/>
        <v>0</v>
      </c>
      <c r="E29" s="760">
        <f t="shared" si="4"/>
        <v>0</v>
      </c>
      <c r="F29" s="760">
        <f t="shared" si="4"/>
        <v>0</v>
      </c>
      <c r="G29" s="760">
        <f t="shared" si="4"/>
        <v>0</v>
      </c>
      <c r="H29" s="760">
        <f t="shared" si="4"/>
        <v>0</v>
      </c>
      <c r="I29" s="760">
        <f t="shared" si="4"/>
        <v>33247614</v>
      </c>
      <c r="J29" s="75">
        <f t="shared" si="1"/>
        <v>33247614</v>
      </c>
      <c r="K29" s="75">
        <f t="shared" si="2"/>
        <v>321079892</v>
      </c>
      <c r="L29" s="760">
        <f>SUM(L30:L39)</f>
        <v>315811162</v>
      </c>
      <c r="M29" s="788">
        <f>SUM(M30:M39)</f>
        <v>373610831</v>
      </c>
    </row>
    <row r="30" spans="1:13" ht="13.5">
      <c r="A30" s="777" t="str">
        <f>'Org structure'!E25</f>
        <v>3.1 - Administration Finance</v>
      </c>
      <c r="B30" s="964"/>
      <c r="C30" s="763">
        <v>54750000</v>
      </c>
      <c r="D30" s="762"/>
      <c r="E30" s="762"/>
      <c r="F30" s="762"/>
      <c r="G30" s="762"/>
      <c r="H30" s="762"/>
      <c r="I30" s="762">
        <f>7445000+25802614</f>
        <v>33247614</v>
      </c>
      <c r="J30" s="75">
        <f t="shared" si="1"/>
        <v>33247614</v>
      </c>
      <c r="K30" s="75">
        <f t="shared" si="2"/>
        <v>87997614</v>
      </c>
      <c r="L30" s="762">
        <v>57433140</v>
      </c>
      <c r="M30" s="762">
        <v>60234598</v>
      </c>
    </row>
    <row r="31" spans="1:13" ht="13.5">
      <c r="A31" s="777" t="str">
        <f>'Org structure'!E26</f>
        <v>3.2 - Budget office</v>
      </c>
      <c r="B31" s="964"/>
      <c r="C31" s="763">
        <v>5051000</v>
      </c>
      <c r="D31" s="762"/>
      <c r="E31" s="762"/>
      <c r="F31" s="762"/>
      <c r="G31" s="762"/>
      <c r="H31" s="762"/>
      <c r="I31" s="762"/>
      <c r="J31" s="75">
        <f t="shared" si="1"/>
        <v>0</v>
      </c>
      <c r="K31" s="75">
        <f t="shared" si="2"/>
        <v>5051000</v>
      </c>
      <c r="L31" s="762">
        <v>5272549</v>
      </c>
      <c r="M31" s="762">
        <v>5502504</v>
      </c>
    </row>
    <row r="32" spans="1:13" ht="13.5">
      <c r="A32" s="777" t="str">
        <f>'Org structure'!E27</f>
        <v>3.3 - Revenue</v>
      </c>
      <c r="B32" s="964"/>
      <c r="C32" s="763">
        <v>225731278</v>
      </c>
      <c r="D32" s="762"/>
      <c r="E32" s="762"/>
      <c r="F32" s="762"/>
      <c r="G32" s="762"/>
      <c r="H32" s="762"/>
      <c r="I32" s="762"/>
      <c r="J32" s="75">
        <f t="shared" si="1"/>
        <v>0</v>
      </c>
      <c r="K32" s="75">
        <f t="shared" si="2"/>
        <v>225731278</v>
      </c>
      <c r="L32" s="762">
        <v>250692773</v>
      </c>
      <c r="M32" s="762">
        <v>305342807</v>
      </c>
    </row>
    <row r="33" spans="1:13" ht="13.5">
      <c r="A33" s="777" t="str">
        <f>'Org structure'!E28</f>
        <v>3.4 - Expenditure</v>
      </c>
      <c r="B33" s="964"/>
      <c r="C33" s="763"/>
      <c r="D33" s="762"/>
      <c r="E33" s="762"/>
      <c r="F33" s="762"/>
      <c r="G33" s="762"/>
      <c r="H33" s="762"/>
      <c r="I33" s="762"/>
      <c r="J33" s="75">
        <f t="shared" si="1"/>
        <v>0</v>
      </c>
      <c r="K33" s="75">
        <f t="shared" si="2"/>
        <v>0</v>
      </c>
      <c r="L33" s="762"/>
      <c r="M33" s="762"/>
    </row>
    <row r="34" spans="1:13" ht="13.5">
      <c r="A34" s="777" t="str">
        <f>'Org structure'!E29</f>
        <v>3.5 - Inventory</v>
      </c>
      <c r="B34" s="964"/>
      <c r="C34" s="763">
        <v>2300000</v>
      </c>
      <c r="D34" s="762"/>
      <c r="E34" s="762"/>
      <c r="F34" s="762"/>
      <c r="G34" s="762"/>
      <c r="H34" s="762"/>
      <c r="I34" s="762"/>
      <c r="J34" s="75">
        <f t="shared" si="1"/>
        <v>0</v>
      </c>
      <c r="K34" s="75">
        <f t="shared" si="2"/>
        <v>2300000</v>
      </c>
      <c r="L34" s="762">
        <v>2412700</v>
      </c>
      <c r="M34" s="762">
        <v>2530922</v>
      </c>
    </row>
    <row r="35" spans="1:13" ht="13.5">
      <c r="A35" s="777" t="str">
        <f>'Org structure'!E30</f>
        <v>3.6 - Supply Chain Management</v>
      </c>
      <c r="B35" s="964"/>
      <c r="C35" s="763"/>
      <c r="D35" s="762"/>
      <c r="E35" s="762"/>
      <c r="F35" s="762"/>
      <c r="G35" s="762"/>
      <c r="H35" s="762"/>
      <c r="I35" s="762"/>
      <c r="J35" s="75">
        <f t="shared" si="1"/>
        <v>0</v>
      </c>
      <c r="K35" s="75">
        <f t="shared" si="2"/>
        <v>0</v>
      </c>
      <c r="L35" s="762"/>
      <c r="M35" s="762"/>
    </row>
    <row r="36" spans="1:13" ht="13.5">
      <c r="A36" s="777">
        <f>'Org structure'!E31</f>
        <v>0</v>
      </c>
      <c r="B36" s="964"/>
      <c r="C36" s="763"/>
      <c r="D36" s="762"/>
      <c r="E36" s="762"/>
      <c r="F36" s="762"/>
      <c r="G36" s="762"/>
      <c r="H36" s="762"/>
      <c r="I36" s="762"/>
      <c r="J36" s="75">
        <f t="shared" si="1"/>
        <v>0</v>
      </c>
      <c r="K36" s="75">
        <f t="shared" si="2"/>
        <v>0</v>
      </c>
      <c r="L36" s="762"/>
      <c r="M36" s="762"/>
    </row>
    <row r="37" spans="1:13" ht="13.5">
      <c r="A37" s="777">
        <f>'Org structure'!E32</f>
        <v>0</v>
      </c>
      <c r="B37" s="964"/>
      <c r="C37" s="763"/>
      <c r="D37" s="762"/>
      <c r="E37" s="762"/>
      <c r="F37" s="762"/>
      <c r="G37" s="762"/>
      <c r="H37" s="762"/>
      <c r="I37" s="762"/>
      <c r="J37" s="75">
        <f t="shared" si="1"/>
        <v>0</v>
      </c>
      <c r="K37" s="75">
        <f t="shared" si="2"/>
        <v>0</v>
      </c>
      <c r="L37" s="762"/>
      <c r="M37" s="764"/>
    </row>
    <row r="38" spans="1:13" ht="13.5">
      <c r="A38" s="777">
        <f>'Org structure'!E33</f>
        <v>0</v>
      </c>
      <c r="B38" s="964"/>
      <c r="C38" s="763"/>
      <c r="D38" s="762"/>
      <c r="E38" s="762"/>
      <c r="F38" s="762"/>
      <c r="G38" s="762"/>
      <c r="H38" s="762"/>
      <c r="I38" s="762"/>
      <c r="J38" s="75">
        <f t="shared" si="1"/>
        <v>0</v>
      </c>
      <c r="K38" s="75">
        <f t="shared" si="2"/>
        <v>0</v>
      </c>
      <c r="L38" s="762"/>
      <c r="M38" s="764"/>
    </row>
    <row r="39" spans="1:13" ht="13.5">
      <c r="A39" s="777">
        <f>'Org structure'!E34</f>
        <v>0</v>
      </c>
      <c r="B39" s="964"/>
      <c r="C39" s="763"/>
      <c r="D39" s="762"/>
      <c r="E39" s="762"/>
      <c r="F39" s="762"/>
      <c r="G39" s="762"/>
      <c r="H39" s="762"/>
      <c r="I39" s="762"/>
      <c r="J39" s="75">
        <f t="shared" si="1"/>
        <v>0</v>
      </c>
      <c r="K39" s="75">
        <f t="shared" si="2"/>
        <v>0</v>
      </c>
      <c r="L39" s="762"/>
      <c r="M39" s="764"/>
    </row>
    <row r="40" spans="1:13" ht="13.5">
      <c r="A40" s="774" t="str">
        <f>'Org structure'!A5</f>
        <v>Vote 4 - Corporate Services</v>
      </c>
      <c r="B40" s="963"/>
      <c r="C40" s="761">
        <f t="shared" ref="C40:I40" si="5">SUM(C41:C50)</f>
        <v>1557</v>
      </c>
      <c r="D40" s="760">
        <f t="shared" si="5"/>
        <v>0</v>
      </c>
      <c r="E40" s="760">
        <f t="shared" si="5"/>
        <v>0</v>
      </c>
      <c r="F40" s="760">
        <f t="shared" si="5"/>
        <v>0</v>
      </c>
      <c r="G40" s="760">
        <f t="shared" si="5"/>
        <v>0</v>
      </c>
      <c r="H40" s="760">
        <f t="shared" si="5"/>
        <v>0</v>
      </c>
      <c r="I40" s="760">
        <f t="shared" si="5"/>
        <v>0</v>
      </c>
      <c r="J40" s="75">
        <f t="shared" si="1"/>
        <v>0</v>
      </c>
      <c r="K40" s="75">
        <f t="shared" si="2"/>
        <v>1557</v>
      </c>
      <c r="L40" s="760">
        <f>SUM(L41:L50)</f>
        <v>1633</v>
      </c>
      <c r="M40" s="788">
        <f>SUM(M41:M50)</f>
        <v>1713</v>
      </c>
    </row>
    <row r="41" spans="1:13" ht="13.5">
      <c r="A41" s="777" t="str">
        <f>'Org structure'!E36</f>
        <v>4.1 - Communications</v>
      </c>
      <c r="B41" s="964"/>
      <c r="C41" s="763"/>
      <c r="D41" s="762"/>
      <c r="E41" s="762"/>
      <c r="F41" s="762"/>
      <c r="G41" s="762"/>
      <c r="H41" s="762"/>
      <c r="I41" s="762"/>
      <c r="J41" s="75">
        <f t="shared" si="1"/>
        <v>0</v>
      </c>
      <c r="K41" s="75">
        <f t="shared" si="2"/>
        <v>0</v>
      </c>
      <c r="L41" s="762"/>
      <c r="M41" s="762"/>
    </row>
    <row r="42" spans="1:13" ht="13.5">
      <c r="A42" s="777" t="str">
        <f>'Org structure'!E37</f>
        <v>4.2 - Public Participation &amp; Project Support</v>
      </c>
      <c r="B42" s="964"/>
      <c r="C42" s="763"/>
      <c r="D42" s="762"/>
      <c r="E42" s="762"/>
      <c r="F42" s="762"/>
      <c r="G42" s="762"/>
      <c r="H42" s="762"/>
      <c r="I42" s="762"/>
      <c r="J42" s="75">
        <f t="shared" si="1"/>
        <v>0</v>
      </c>
      <c r="K42" s="75">
        <f t="shared" si="2"/>
        <v>0</v>
      </c>
      <c r="L42" s="762"/>
      <c r="M42" s="762"/>
    </row>
    <row r="43" spans="1:13" ht="13.5">
      <c r="A43" s="777" t="str">
        <f>'Org structure'!E38</f>
        <v>4.10 - Information Technolgy</v>
      </c>
      <c r="B43" s="964"/>
      <c r="C43" s="763"/>
      <c r="D43" s="762"/>
      <c r="E43" s="762"/>
      <c r="F43" s="762"/>
      <c r="G43" s="762"/>
      <c r="H43" s="762"/>
      <c r="I43" s="762"/>
      <c r="J43" s="75">
        <f t="shared" si="1"/>
        <v>0</v>
      </c>
      <c r="K43" s="75">
        <f t="shared" si="2"/>
        <v>0</v>
      </c>
      <c r="L43" s="762"/>
      <c r="M43" s="762"/>
    </row>
    <row r="44" spans="1:13" ht="13.5">
      <c r="A44" s="777" t="str">
        <f>'Org structure'!E39</f>
        <v>4.4 - Administration HR &amp; Corporate</v>
      </c>
      <c r="B44" s="964"/>
      <c r="C44" s="763">
        <v>125</v>
      </c>
      <c r="D44" s="762"/>
      <c r="E44" s="762"/>
      <c r="F44" s="762"/>
      <c r="G44" s="762"/>
      <c r="H44" s="762"/>
      <c r="I44" s="762"/>
      <c r="J44" s="75">
        <f t="shared" si="1"/>
        <v>0</v>
      </c>
      <c r="K44" s="75">
        <f t="shared" si="2"/>
        <v>125</v>
      </c>
      <c r="L44" s="762">
        <v>131</v>
      </c>
      <c r="M44" s="762">
        <v>138</v>
      </c>
    </row>
    <row r="45" spans="1:13" ht="13.5">
      <c r="A45" s="777" t="str">
        <f>'Org structure'!E40</f>
        <v>4.5 - Human Resources</v>
      </c>
      <c r="B45" s="964"/>
      <c r="C45" s="763"/>
      <c r="D45" s="762"/>
      <c r="E45" s="762"/>
      <c r="F45" s="762"/>
      <c r="G45" s="762"/>
      <c r="H45" s="762"/>
      <c r="I45" s="762"/>
      <c r="J45" s="75">
        <f t="shared" si="1"/>
        <v>0</v>
      </c>
      <c r="K45" s="75">
        <f t="shared" si="2"/>
        <v>0</v>
      </c>
      <c r="L45" s="762"/>
      <c r="M45" s="762"/>
    </row>
    <row r="46" spans="1:13" ht="13.5">
      <c r="A46" s="777" t="str">
        <f>'Org structure'!E41</f>
        <v>4.6 - Occupational Health &amp; safety</v>
      </c>
      <c r="B46" s="964"/>
      <c r="C46" s="763"/>
      <c r="D46" s="762"/>
      <c r="E46" s="762"/>
      <c r="F46" s="762"/>
      <c r="G46" s="762"/>
      <c r="H46" s="762"/>
      <c r="I46" s="762"/>
      <c r="J46" s="75">
        <f t="shared" si="1"/>
        <v>0</v>
      </c>
      <c r="K46" s="75">
        <f t="shared" si="2"/>
        <v>0</v>
      </c>
      <c r="L46" s="762"/>
      <c r="M46" s="762"/>
    </row>
    <row r="47" spans="1:13" ht="13.5">
      <c r="A47" s="777" t="str">
        <f>'Org structure'!E42</f>
        <v>4.8 - Corporate Services</v>
      </c>
      <c r="B47" s="964"/>
      <c r="C47" s="763">
        <v>129</v>
      </c>
      <c r="D47" s="762"/>
      <c r="E47" s="762"/>
      <c r="F47" s="762"/>
      <c r="G47" s="762"/>
      <c r="H47" s="762"/>
      <c r="I47" s="762"/>
      <c r="J47" s="75">
        <f t="shared" si="1"/>
        <v>0</v>
      </c>
      <c r="K47" s="75">
        <f t="shared" si="2"/>
        <v>129</v>
      </c>
      <c r="L47" s="762">
        <v>135</v>
      </c>
      <c r="M47" s="762">
        <v>142</v>
      </c>
    </row>
    <row r="48" spans="1:13" ht="13.5">
      <c r="A48" s="777" t="str">
        <f>'Org structure'!E43</f>
        <v>4.9 - Council Expenditure</v>
      </c>
      <c r="B48" s="964"/>
      <c r="C48" s="763">
        <v>203</v>
      </c>
      <c r="D48" s="762"/>
      <c r="E48" s="762"/>
      <c r="F48" s="762"/>
      <c r="G48" s="762"/>
      <c r="H48" s="762"/>
      <c r="I48" s="762"/>
      <c r="J48" s="75">
        <f t="shared" si="1"/>
        <v>0</v>
      </c>
      <c r="K48" s="75">
        <f t="shared" si="2"/>
        <v>203</v>
      </c>
      <c r="L48" s="762">
        <v>213</v>
      </c>
      <c r="M48" s="762">
        <v>223</v>
      </c>
    </row>
    <row r="49" spans="1:13" ht="13.5">
      <c r="A49" s="777" t="str">
        <f>'Org structure'!E44</f>
        <v>4.7 - Legal Services</v>
      </c>
      <c r="B49" s="964"/>
      <c r="C49" s="763">
        <v>1100</v>
      </c>
      <c r="D49" s="762"/>
      <c r="E49" s="762"/>
      <c r="F49" s="762"/>
      <c r="G49" s="762"/>
      <c r="H49" s="762"/>
      <c r="I49" s="762"/>
      <c r="J49" s="75">
        <f t="shared" si="1"/>
        <v>0</v>
      </c>
      <c r="K49" s="75">
        <f t="shared" si="2"/>
        <v>1100</v>
      </c>
      <c r="L49" s="762">
        <v>1154</v>
      </c>
      <c r="M49" s="762">
        <v>1210</v>
      </c>
    </row>
    <row r="50" spans="1:13" ht="13.5">
      <c r="A50" s="777">
        <f>'Org structure'!E45</f>
        <v>0</v>
      </c>
      <c r="B50" s="964"/>
      <c r="C50" s="763"/>
      <c r="D50" s="762"/>
      <c r="E50" s="762"/>
      <c r="F50" s="762"/>
      <c r="G50" s="762"/>
      <c r="H50" s="762"/>
      <c r="I50" s="762"/>
      <c r="J50" s="75">
        <f t="shared" si="1"/>
        <v>0</v>
      </c>
      <c r="K50" s="75">
        <f t="shared" si="2"/>
        <v>0</v>
      </c>
      <c r="L50" s="762"/>
      <c r="M50" s="762"/>
    </row>
    <row r="51" spans="1:13" ht="13.5">
      <c r="A51" s="774" t="str">
        <f>'Org structure'!A6</f>
        <v>Vote 5 - Community Services</v>
      </c>
      <c r="B51" s="963"/>
      <c r="C51" s="761">
        <f>SUM(C52:C61)</f>
        <v>31855913</v>
      </c>
      <c r="D51" s="760">
        <f t="shared" ref="D51:I51" si="6">SUM(D52:D61)</f>
        <v>0</v>
      </c>
      <c r="E51" s="760">
        <f t="shared" si="6"/>
        <v>0</v>
      </c>
      <c r="F51" s="760">
        <f t="shared" si="6"/>
        <v>0</v>
      </c>
      <c r="G51" s="760">
        <f t="shared" si="6"/>
        <v>0</v>
      </c>
      <c r="H51" s="760">
        <f t="shared" si="6"/>
        <v>0</v>
      </c>
      <c r="I51" s="760">
        <f t="shared" si="6"/>
        <v>0</v>
      </c>
      <c r="J51" s="75">
        <f t="shared" si="1"/>
        <v>0</v>
      </c>
      <c r="K51" s="75">
        <f t="shared" si="2"/>
        <v>31855913</v>
      </c>
      <c r="L51" s="760">
        <f>SUM(L52:L61)</f>
        <v>31623063</v>
      </c>
      <c r="M51" s="788">
        <f>SUM(M52:M61)</f>
        <v>33172593</v>
      </c>
    </row>
    <row r="52" spans="1:13" ht="13.5">
      <c r="A52" s="777" t="str">
        <f>'Org structure'!E47</f>
        <v>5.1 - Parks &amp; Recreation</v>
      </c>
      <c r="B52" s="964"/>
      <c r="C52" s="763">
        <v>512766</v>
      </c>
      <c r="D52" s="762"/>
      <c r="E52" s="762"/>
      <c r="F52" s="762"/>
      <c r="G52" s="762"/>
      <c r="H52" s="762"/>
      <c r="I52" s="762"/>
      <c r="J52" s="75">
        <f t="shared" si="1"/>
        <v>0</v>
      </c>
      <c r="K52" s="75">
        <f t="shared" si="2"/>
        <v>512766</v>
      </c>
      <c r="L52" s="762">
        <v>537892</v>
      </c>
      <c r="M52" s="762">
        <v>564248</v>
      </c>
    </row>
    <row r="53" spans="1:13" ht="13.5">
      <c r="A53" s="777" t="str">
        <f>'Org structure'!E48</f>
        <v>5.2 - Administration Community Services</v>
      </c>
      <c r="B53" s="964"/>
      <c r="C53" s="763"/>
      <c r="D53" s="762"/>
      <c r="E53" s="762"/>
      <c r="F53" s="762"/>
      <c r="G53" s="762"/>
      <c r="H53" s="762"/>
      <c r="I53" s="762"/>
      <c r="J53" s="75">
        <f t="shared" si="1"/>
        <v>0</v>
      </c>
      <c r="K53" s="75">
        <f t="shared" si="2"/>
        <v>0</v>
      </c>
      <c r="L53" s="762"/>
      <c r="M53" s="762"/>
    </row>
    <row r="54" spans="1:13" ht="13.5">
      <c r="A54" s="777" t="str">
        <f>'Org structure'!E49</f>
        <v>5.3 - Community Health Services</v>
      </c>
      <c r="B54" s="964"/>
      <c r="C54" s="763"/>
      <c r="D54" s="762"/>
      <c r="E54" s="762"/>
      <c r="F54" s="762"/>
      <c r="G54" s="762"/>
      <c r="H54" s="762"/>
      <c r="I54" s="762"/>
      <c r="J54" s="75">
        <f t="shared" si="1"/>
        <v>0</v>
      </c>
      <c r="K54" s="75">
        <f t="shared" si="2"/>
        <v>0</v>
      </c>
      <c r="L54" s="762"/>
      <c r="M54" s="762"/>
    </row>
    <row r="55" spans="1:13" ht="13.5">
      <c r="A55" s="777" t="str">
        <f>'Org structure'!E50</f>
        <v>5.4 - Enviromental Health Services</v>
      </c>
      <c r="B55" s="964"/>
      <c r="C55" s="763">
        <v>10000</v>
      </c>
      <c r="D55" s="762"/>
      <c r="E55" s="762"/>
      <c r="F55" s="762"/>
      <c r="G55" s="762"/>
      <c r="H55" s="762"/>
      <c r="I55" s="762"/>
      <c r="J55" s="75">
        <f t="shared" si="1"/>
        <v>0</v>
      </c>
      <c r="K55" s="75">
        <f t="shared" si="2"/>
        <v>10000</v>
      </c>
      <c r="L55" s="762">
        <v>10490</v>
      </c>
      <c r="M55" s="762">
        <v>11004</v>
      </c>
    </row>
    <row r="56" spans="1:13" ht="13.5">
      <c r="A56" s="777" t="str">
        <f>'Org structure'!E51</f>
        <v>5.5 - Library Services</v>
      </c>
      <c r="B56" s="965"/>
      <c r="C56" s="763">
        <v>124976</v>
      </c>
      <c r="D56" s="762"/>
      <c r="E56" s="762"/>
      <c r="F56" s="762"/>
      <c r="G56" s="762"/>
      <c r="H56" s="762"/>
      <c r="I56" s="762"/>
      <c r="J56" s="75">
        <f t="shared" si="1"/>
        <v>0</v>
      </c>
      <c r="K56" s="75">
        <f t="shared" si="2"/>
        <v>124976</v>
      </c>
      <c r="L56" s="762">
        <v>131100</v>
      </c>
      <c r="M56" s="762">
        <v>137524</v>
      </c>
    </row>
    <row r="57" spans="1:13" ht="13.5">
      <c r="A57" s="777" t="str">
        <f>'Org structure'!E52</f>
        <v>5.6 - Solid Waste</v>
      </c>
      <c r="B57" s="964"/>
      <c r="C57" s="763">
        <v>31208171</v>
      </c>
      <c r="D57" s="762"/>
      <c r="E57" s="762"/>
      <c r="F57" s="762"/>
      <c r="G57" s="762"/>
      <c r="H57" s="762"/>
      <c r="I57" s="762"/>
      <c r="J57" s="75">
        <f t="shared" si="1"/>
        <v>0</v>
      </c>
      <c r="K57" s="75">
        <f t="shared" si="2"/>
        <v>31208171</v>
      </c>
      <c r="L57" s="762">
        <v>30943581</v>
      </c>
      <c r="M57" s="762">
        <v>32459817</v>
      </c>
    </row>
    <row r="58" spans="1:13" ht="13.5">
      <c r="A58" s="777" t="str">
        <f>'Org structure'!E53</f>
        <v>5.7 - Street Cleansing</v>
      </c>
      <c r="B58" s="964"/>
      <c r="C58" s="763"/>
      <c r="D58" s="762"/>
      <c r="E58" s="762"/>
      <c r="F58" s="762"/>
      <c r="G58" s="762"/>
      <c r="H58" s="762"/>
      <c r="I58" s="762"/>
      <c r="J58" s="75">
        <f t="shared" si="1"/>
        <v>0</v>
      </c>
      <c r="K58" s="75">
        <f t="shared" si="2"/>
        <v>0</v>
      </c>
      <c r="L58" s="762"/>
      <c r="M58" s="762"/>
    </row>
    <row r="59" spans="1:13" ht="13.5">
      <c r="A59" s="777" t="str">
        <f>'Org structure'!E54</f>
        <v>5.8 - Public Toilets</v>
      </c>
      <c r="B59" s="964"/>
      <c r="C59" s="763"/>
      <c r="D59" s="762"/>
      <c r="E59" s="762"/>
      <c r="F59" s="762"/>
      <c r="G59" s="762"/>
      <c r="H59" s="762"/>
      <c r="I59" s="762"/>
      <c r="J59" s="75">
        <f t="shared" si="1"/>
        <v>0</v>
      </c>
      <c r="K59" s="75">
        <f t="shared" si="2"/>
        <v>0</v>
      </c>
      <c r="L59" s="762"/>
      <c r="M59" s="762"/>
    </row>
    <row r="60" spans="1:13" ht="13.5">
      <c r="A60" s="777">
        <f>'Org structure'!E55</f>
        <v>0</v>
      </c>
      <c r="B60" s="964"/>
      <c r="C60" s="763"/>
      <c r="D60" s="762"/>
      <c r="E60" s="762"/>
      <c r="F60" s="762"/>
      <c r="G60" s="762"/>
      <c r="H60" s="762"/>
      <c r="I60" s="762"/>
      <c r="J60" s="75">
        <f t="shared" si="1"/>
        <v>0</v>
      </c>
      <c r="K60" s="75">
        <f t="shared" si="2"/>
        <v>0</v>
      </c>
      <c r="L60" s="762"/>
      <c r="M60" s="762"/>
    </row>
    <row r="61" spans="1:13" ht="13.5">
      <c r="A61" s="777">
        <f>'Org structure'!E56</f>
        <v>0</v>
      </c>
      <c r="B61" s="964"/>
      <c r="C61" s="763"/>
      <c r="D61" s="762"/>
      <c r="E61" s="762"/>
      <c r="F61" s="762"/>
      <c r="G61" s="762"/>
      <c r="H61" s="762"/>
      <c r="I61" s="762"/>
      <c r="J61" s="75">
        <f t="shared" si="1"/>
        <v>0</v>
      </c>
      <c r="K61" s="75">
        <f t="shared" si="2"/>
        <v>0</v>
      </c>
      <c r="L61" s="762"/>
      <c r="M61" s="764"/>
    </row>
    <row r="62" spans="1:13" ht="13.5">
      <c r="A62" s="774" t="str">
        <f>'Org structure'!A7</f>
        <v>Vote 6 - Community Services</v>
      </c>
      <c r="B62" s="963"/>
      <c r="C62" s="761">
        <f>SUM(C63:C72)</f>
        <v>47474250</v>
      </c>
      <c r="D62" s="760">
        <f t="shared" ref="D62:I62" si="7">SUM(D63:D72)</f>
        <v>0</v>
      </c>
      <c r="E62" s="760">
        <f t="shared" si="7"/>
        <v>0</v>
      </c>
      <c r="F62" s="760">
        <f t="shared" si="7"/>
        <v>0</v>
      </c>
      <c r="G62" s="760">
        <f t="shared" si="7"/>
        <v>0</v>
      </c>
      <c r="H62" s="760">
        <f t="shared" si="7"/>
        <v>0</v>
      </c>
      <c r="I62" s="760">
        <f t="shared" si="7"/>
        <v>0</v>
      </c>
      <c r="J62" s="75">
        <f t="shared" si="1"/>
        <v>0</v>
      </c>
      <c r="K62" s="75">
        <f t="shared" si="2"/>
        <v>47474250</v>
      </c>
      <c r="L62" s="760">
        <f>SUM(L63:L72)</f>
        <v>49800488</v>
      </c>
      <c r="M62" s="788">
        <f>SUM(M63:M72)</f>
        <v>52240712</v>
      </c>
    </row>
    <row r="63" spans="1:13" ht="13.5">
      <c r="A63" s="777" t="str">
        <f>'Org structure'!E58</f>
        <v>6.2 - Administration Transport,safety,Security</v>
      </c>
      <c r="B63" s="964"/>
      <c r="C63" s="763"/>
      <c r="D63" s="762"/>
      <c r="E63" s="762"/>
      <c r="F63" s="762"/>
      <c r="G63" s="762"/>
      <c r="H63" s="762"/>
      <c r="I63" s="762"/>
      <c r="J63" s="75">
        <f t="shared" si="1"/>
        <v>0</v>
      </c>
      <c r="K63" s="75">
        <f t="shared" si="2"/>
        <v>0</v>
      </c>
      <c r="L63" s="762"/>
      <c r="M63" s="762"/>
    </row>
    <row r="64" spans="1:13" ht="13.5">
      <c r="A64" s="777" t="str">
        <f>'Org structure'!E59</f>
        <v>6.3 - Vehicle licencing</v>
      </c>
      <c r="B64" s="964"/>
      <c r="C64" s="763">
        <v>44473250</v>
      </c>
      <c r="D64" s="762"/>
      <c r="E64" s="762"/>
      <c r="F64" s="762"/>
      <c r="G64" s="762"/>
      <c r="H64" s="762"/>
      <c r="I64" s="762"/>
      <c r="J64" s="75">
        <f t="shared" si="1"/>
        <v>0</v>
      </c>
      <c r="K64" s="75">
        <f t="shared" si="2"/>
        <v>44473250</v>
      </c>
      <c r="L64" s="762">
        <v>46652439</v>
      </c>
      <c r="M64" s="762">
        <v>48938409</v>
      </c>
    </row>
    <row r="65" spans="1:13" ht="13.5">
      <c r="A65" s="777" t="str">
        <f>'Org structure'!E60</f>
        <v>6.1 - Traffic services</v>
      </c>
      <c r="B65" s="964"/>
      <c r="C65" s="763">
        <v>3001000</v>
      </c>
      <c r="D65" s="762"/>
      <c r="E65" s="762"/>
      <c r="F65" s="762"/>
      <c r="G65" s="762"/>
      <c r="H65" s="762"/>
      <c r="I65" s="762"/>
      <c r="J65" s="75">
        <f t="shared" si="1"/>
        <v>0</v>
      </c>
      <c r="K65" s="75">
        <f t="shared" si="2"/>
        <v>3001000</v>
      </c>
      <c r="L65" s="762">
        <v>3148049</v>
      </c>
      <c r="M65" s="762">
        <v>3302303</v>
      </c>
    </row>
    <row r="66" spans="1:13" ht="13.5">
      <c r="A66" s="777">
        <f>'Org structure'!E61</f>
        <v>0</v>
      </c>
      <c r="B66" s="964"/>
      <c r="C66" s="763"/>
      <c r="D66" s="762"/>
      <c r="E66" s="762"/>
      <c r="F66" s="762"/>
      <c r="G66" s="762"/>
      <c r="H66" s="762"/>
      <c r="I66" s="762"/>
      <c r="J66" s="75">
        <f t="shared" si="1"/>
        <v>0</v>
      </c>
      <c r="K66" s="75">
        <f t="shared" si="2"/>
        <v>0</v>
      </c>
      <c r="L66" s="762"/>
      <c r="M66" s="762"/>
    </row>
    <row r="67" spans="1:13" ht="13.5">
      <c r="A67" s="777">
        <f>'Org structure'!E62</f>
        <v>0</v>
      </c>
      <c r="B67" s="964"/>
      <c r="C67" s="763"/>
      <c r="D67" s="762"/>
      <c r="E67" s="762"/>
      <c r="F67" s="762"/>
      <c r="G67" s="762"/>
      <c r="H67" s="762"/>
      <c r="I67" s="762"/>
      <c r="J67" s="75">
        <f t="shared" si="1"/>
        <v>0</v>
      </c>
      <c r="K67" s="75">
        <f t="shared" si="2"/>
        <v>0</v>
      </c>
      <c r="L67" s="762"/>
      <c r="M67" s="762"/>
    </row>
    <row r="68" spans="1:13" ht="13.5">
      <c r="A68" s="777">
        <f>'Org structure'!E63</f>
        <v>0</v>
      </c>
      <c r="B68" s="964"/>
      <c r="C68" s="763"/>
      <c r="D68" s="762"/>
      <c r="E68" s="762"/>
      <c r="F68" s="762"/>
      <c r="G68" s="762"/>
      <c r="H68" s="762"/>
      <c r="I68" s="762"/>
      <c r="J68" s="75">
        <f t="shared" si="1"/>
        <v>0</v>
      </c>
      <c r="K68" s="75">
        <f t="shared" si="2"/>
        <v>0</v>
      </c>
      <c r="L68" s="762"/>
      <c r="M68" s="762"/>
    </row>
    <row r="69" spans="1:13" ht="13.5">
      <c r="A69" s="777">
        <f>'Org structure'!E64</f>
        <v>0</v>
      </c>
      <c r="B69" s="964"/>
      <c r="C69" s="763"/>
      <c r="D69" s="762"/>
      <c r="E69" s="762"/>
      <c r="F69" s="762"/>
      <c r="G69" s="762"/>
      <c r="H69" s="762"/>
      <c r="I69" s="762"/>
      <c r="J69" s="75">
        <f t="shared" si="1"/>
        <v>0</v>
      </c>
      <c r="K69" s="75">
        <f t="shared" si="2"/>
        <v>0</v>
      </c>
      <c r="L69" s="762"/>
      <c r="M69" s="762"/>
    </row>
    <row r="70" spans="1:13" ht="13.5">
      <c r="A70" s="777">
        <f>'Org structure'!E65</f>
        <v>0</v>
      </c>
      <c r="B70" s="964"/>
      <c r="C70" s="763"/>
      <c r="D70" s="762"/>
      <c r="E70" s="762"/>
      <c r="F70" s="762"/>
      <c r="G70" s="762"/>
      <c r="H70" s="762"/>
      <c r="I70" s="762"/>
      <c r="J70" s="75">
        <f t="shared" si="1"/>
        <v>0</v>
      </c>
      <c r="K70" s="75">
        <f t="shared" si="2"/>
        <v>0</v>
      </c>
      <c r="L70" s="762"/>
      <c r="M70" s="762"/>
    </row>
    <row r="71" spans="1:13" ht="13.5">
      <c r="A71" s="777">
        <f>'Org structure'!E66</f>
        <v>0</v>
      </c>
      <c r="B71" s="964"/>
      <c r="C71" s="763"/>
      <c r="D71" s="762"/>
      <c r="E71" s="762"/>
      <c r="F71" s="762"/>
      <c r="G71" s="762"/>
      <c r="H71" s="762"/>
      <c r="I71" s="762"/>
      <c r="J71" s="75">
        <f t="shared" si="1"/>
        <v>0</v>
      </c>
      <c r="K71" s="75">
        <f t="shared" si="2"/>
        <v>0</v>
      </c>
      <c r="L71" s="762"/>
      <c r="M71" s="764"/>
    </row>
    <row r="72" spans="1:13" ht="13.5">
      <c r="A72" s="777">
        <f>'Org structure'!E67</f>
        <v>0</v>
      </c>
      <c r="B72" s="964"/>
      <c r="C72" s="763"/>
      <c r="D72" s="762"/>
      <c r="E72" s="762"/>
      <c r="F72" s="762"/>
      <c r="G72" s="762"/>
      <c r="H72" s="762"/>
      <c r="I72" s="762"/>
      <c r="J72" s="75">
        <f t="shared" ref="J72:J135" si="8">SUM(E72:I72)</f>
        <v>0</v>
      </c>
      <c r="K72" s="75">
        <f t="shared" ref="K72:K135" si="9">IF(D72=0,C72+J72,D72+J72)</f>
        <v>0</v>
      </c>
      <c r="L72" s="762"/>
      <c r="M72" s="764"/>
    </row>
    <row r="73" spans="1:13" ht="13.5">
      <c r="A73" s="774" t="str">
        <f>'Org structure'!A8</f>
        <v>Vote 7 - Electrical Engineering Services</v>
      </c>
      <c r="B73" s="963"/>
      <c r="C73" s="761">
        <f t="shared" ref="C73:I73" si="10">SUM(C74:C83)</f>
        <v>404524484</v>
      </c>
      <c r="D73" s="760">
        <f t="shared" si="10"/>
        <v>0</v>
      </c>
      <c r="E73" s="760">
        <f t="shared" si="10"/>
        <v>0</v>
      </c>
      <c r="F73" s="760">
        <f t="shared" si="10"/>
        <v>0</v>
      </c>
      <c r="G73" s="760">
        <f t="shared" si="10"/>
        <v>0</v>
      </c>
      <c r="H73" s="760">
        <f t="shared" si="10"/>
        <v>2000000</v>
      </c>
      <c r="I73" s="760">
        <f t="shared" si="10"/>
        <v>0</v>
      </c>
      <c r="J73" s="75">
        <f t="shared" si="8"/>
        <v>2000000</v>
      </c>
      <c r="K73" s="75">
        <f t="shared" si="9"/>
        <v>406524484</v>
      </c>
      <c r="L73" s="760">
        <f>SUM(L74:L83)</f>
        <v>428121184</v>
      </c>
      <c r="M73" s="788">
        <f>SUM(M74:M83)</f>
        <v>447629121</v>
      </c>
    </row>
    <row r="74" spans="1:13" ht="13.5">
      <c r="A74" s="777" t="str">
        <f>'Org structure'!E69</f>
        <v>7.1 - Administration Electrical Engineering</v>
      </c>
      <c r="B74" s="964"/>
      <c r="C74" s="763"/>
      <c r="D74" s="762"/>
      <c r="E74" s="762"/>
      <c r="F74" s="762"/>
      <c r="G74" s="762"/>
      <c r="H74" s="762"/>
      <c r="I74" s="762"/>
      <c r="J74" s="75">
        <f t="shared" si="8"/>
        <v>0</v>
      </c>
      <c r="K74" s="75">
        <f t="shared" si="9"/>
        <v>0</v>
      </c>
      <c r="L74" s="762"/>
      <c r="M74" s="762"/>
    </row>
    <row r="75" spans="1:13" ht="13.5">
      <c r="A75" s="777" t="str">
        <f>'Org structure'!E70</f>
        <v>7.2 - Operations &amp; Maintenance: Rural</v>
      </c>
      <c r="B75" s="964"/>
      <c r="C75" s="763">
        <v>301992613</v>
      </c>
      <c r="D75" s="762"/>
      <c r="E75" s="762"/>
      <c r="F75" s="762"/>
      <c r="G75" s="762"/>
      <c r="H75" s="762"/>
      <c r="I75" s="762"/>
      <c r="J75" s="75">
        <f t="shared" si="8"/>
        <v>0</v>
      </c>
      <c r="K75" s="75">
        <f t="shared" si="9"/>
        <v>301992613</v>
      </c>
      <c r="L75" s="762">
        <v>320663251</v>
      </c>
      <c r="M75" s="762">
        <v>335003750</v>
      </c>
    </row>
    <row r="76" spans="1:13" ht="13.5">
      <c r="A76" s="777" t="str">
        <f>'Org structure'!E71</f>
        <v>7.3 - Operations &amp; Maintenance: Town</v>
      </c>
      <c r="B76" s="964"/>
      <c r="C76" s="763">
        <v>102531871</v>
      </c>
      <c r="D76" s="762"/>
      <c r="E76" s="762"/>
      <c r="F76" s="762"/>
      <c r="G76" s="762"/>
      <c r="H76" s="762">
        <v>2000000</v>
      </c>
      <c r="I76" s="762"/>
      <c r="J76" s="75">
        <f t="shared" si="8"/>
        <v>2000000</v>
      </c>
      <c r="K76" s="75">
        <f t="shared" si="9"/>
        <v>104531871</v>
      </c>
      <c r="L76" s="762">
        <v>107457933</v>
      </c>
      <c r="M76" s="762">
        <v>112625371</v>
      </c>
    </row>
    <row r="77" spans="1:13" ht="13.5">
      <c r="A77" s="777">
        <f>'Org structure'!E72</f>
        <v>0</v>
      </c>
      <c r="B77" s="964"/>
      <c r="C77" s="763"/>
      <c r="D77" s="762"/>
      <c r="E77" s="762"/>
      <c r="F77" s="762"/>
      <c r="G77" s="762"/>
      <c r="H77" s="762"/>
      <c r="I77" s="762"/>
      <c r="J77" s="75">
        <f t="shared" si="8"/>
        <v>0</v>
      </c>
      <c r="K77" s="75">
        <f t="shared" si="9"/>
        <v>0</v>
      </c>
      <c r="L77" s="762"/>
      <c r="M77" s="762"/>
    </row>
    <row r="78" spans="1:13" ht="13.5">
      <c r="A78" s="777">
        <f>'Org structure'!E73</f>
        <v>0</v>
      </c>
      <c r="B78" s="964"/>
      <c r="C78" s="763"/>
      <c r="D78" s="762"/>
      <c r="E78" s="762"/>
      <c r="F78" s="762"/>
      <c r="G78" s="762"/>
      <c r="H78" s="762"/>
      <c r="I78" s="762"/>
      <c r="J78" s="75">
        <f t="shared" si="8"/>
        <v>0</v>
      </c>
      <c r="K78" s="75">
        <f t="shared" si="9"/>
        <v>0</v>
      </c>
      <c r="L78" s="762"/>
      <c r="M78" s="762"/>
    </row>
    <row r="79" spans="1:13" ht="13.5">
      <c r="A79" s="777">
        <f>'Org structure'!E74</f>
        <v>0</v>
      </c>
      <c r="B79" s="964"/>
      <c r="C79" s="763"/>
      <c r="D79" s="762"/>
      <c r="E79" s="762"/>
      <c r="F79" s="762"/>
      <c r="G79" s="762"/>
      <c r="H79" s="762"/>
      <c r="I79" s="762"/>
      <c r="J79" s="75">
        <f t="shared" si="8"/>
        <v>0</v>
      </c>
      <c r="K79" s="75">
        <f t="shared" si="9"/>
        <v>0</v>
      </c>
      <c r="L79" s="762"/>
      <c r="M79" s="762"/>
    </row>
    <row r="80" spans="1:13" ht="13.5">
      <c r="A80" s="777">
        <f>'Org structure'!E75</f>
        <v>0</v>
      </c>
      <c r="B80" s="964"/>
      <c r="C80" s="763"/>
      <c r="D80" s="762"/>
      <c r="E80" s="762"/>
      <c r="F80" s="762"/>
      <c r="G80" s="762"/>
      <c r="H80" s="762"/>
      <c r="I80" s="762"/>
      <c r="J80" s="75">
        <f t="shared" si="8"/>
        <v>0</v>
      </c>
      <c r="K80" s="75">
        <f t="shared" si="9"/>
        <v>0</v>
      </c>
      <c r="L80" s="762"/>
      <c r="M80" s="762"/>
    </row>
    <row r="81" spans="1:13" ht="13.5">
      <c r="A81" s="777">
        <f>'Org structure'!E76</f>
        <v>0</v>
      </c>
      <c r="B81" s="964"/>
      <c r="C81" s="763"/>
      <c r="D81" s="762"/>
      <c r="E81" s="762"/>
      <c r="F81" s="762"/>
      <c r="G81" s="762"/>
      <c r="H81" s="762"/>
      <c r="I81" s="762"/>
      <c r="J81" s="75">
        <f t="shared" si="8"/>
        <v>0</v>
      </c>
      <c r="K81" s="75">
        <f t="shared" si="9"/>
        <v>0</v>
      </c>
      <c r="L81" s="762"/>
      <c r="M81" s="764"/>
    </row>
    <row r="82" spans="1:13" ht="13.5">
      <c r="A82" s="777">
        <f>'Org structure'!E77</f>
        <v>0</v>
      </c>
      <c r="B82" s="964"/>
      <c r="C82" s="763"/>
      <c r="D82" s="762"/>
      <c r="E82" s="762"/>
      <c r="F82" s="762"/>
      <c r="G82" s="762"/>
      <c r="H82" s="762"/>
      <c r="I82" s="762"/>
      <c r="J82" s="75">
        <f t="shared" si="8"/>
        <v>0</v>
      </c>
      <c r="K82" s="75">
        <f t="shared" si="9"/>
        <v>0</v>
      </c>
      <c r="L82" s="762"/>
      <c r="M82" s="764"/>
    </row>
    <row r="83" spans="1:13" ht="13.5">
      <c r="A83" s="777">
        <f>'Org structure'!E78</f>
        <v>0</v>
      </c>
      <c r="B83" s="964"/>
      <c r="C83" s="763"/>
      <c r="D83" s="762"/>
      <c r="E83" s="762"/>
      <c r="F83" s="762"/>
      <c r="G83" s="762"/>
      <c r="H83" s="762"/>
      <c r="I83" s="762"/>
      <c r="J83" s="75">
        <f t="shared" si="8"/>
        <v>0</v>
      </c>
      <c r="K83" s="75">
        <f t="shared" si="9"/>
        <v>0</v>
      </c>
      <c r="L83" s="762"/>
      <c r="M83" s="764"/>
    </row>
    <row r="84" spans="1:13" ht="13.5">
      <c r="A84" s="774" t="str">
        <f>'Org structure'!A9</f>
        <v>Vote 8 - Engineering Services</v>
      </c>
      <c r="B84" s="964"/>
      <c r="C84" s="761">
        <f>SUM(C85:C94)</f>
        <v>73859325</v>
      </c>
      <c r="D84" s="760">
        <f t="shared" ref="D84:I84" si="11">SUM(D85:D94)</f>
        <v>0</v>
      </c>
      <c r="E84" s="760">
        <f t="shared" si="11"/>
        <v>0</v>
      </c>
      <c r="F84" s="760">
        <f t="shared" si="11"/>
        <v>0</v>
      </c>
      <c r="G84" s="760">
        <f t="shared" si="11"/>
        <v>0</v>
      </c>
      <c r="H84" s="760">
        <f t="shared" si="11"/>
        <v>0</v>
      </c>
      <c r="I84" s="760">
        <f t="shared" si="11"/>
        <v>0</v>
      </c>
      <c r="J84" s="75">
        <f t="shared" si="8"/>
        <v>0</v>
      </c>
      <c r="K84" s="75">
        <f t="shared" si="9"/>
        <v>73859325</v>
      </c>
      <c r="L84" s="760">
        <f>SUM(L85:L94)</f>
        <v>87793332</v>
      </c>
      <c r="M84" s="788">
        <f>SUM(M85:M94)</f>
        <v>94957808</v>
      </c>
    </row>
    <row r="85" spans="1:13" ht="13.5">
      <c r="A85" s="777" t="str">
        <f>'Org structure'!E80</f>
        <v>8.1 - Fleet Management</v>
      </c>
      <c r="B85" s="964"/>
      <c r="C85" s="763"/>
      <c r="D85" s="762"/>
      <c r="E85" s="762"/>
      <c r="F85" s="762"/>
      <c r="G85" s="762"/>
      <c r="H85" s="762"/>
      <c r="I85" s="762"/>
      <c r="J85" s="75">
        <f t="shared" si="8"/>
        <v>0</v>
      </c>
      <c r="K85" s="75">
        <f t="shared" si="9"/>
        <v>0</v>
      </c>
      <c r="L85" s="762"/>
      <c r="M85" s="762"/>
    </row>
    <row r="86" spans="1:13" ht="13.5">
      <c r="A86" s="777" t="str">
        <f>'Org structure'!E81</f>
        <v>8.2 - Administration Civil Engineering</v>
      </c>
      <c r="B86" s="964"/>
      <c r="C86" s="763">
        <v>100</v>
      </c>
      <c r="D86" s="762"/>
      <c r="E86" s="762"/>
      <c r="F86" s="762"/>
      <c r="G86" s="762"/>
      <c r="H86" s="762"/>
      <c r="I86" s="762"/>
      <c r="J86" s="75">
        <f t="shared" si="8"/>
        <v>0</v>
      </c>
      <c r="K86" s="75">
        <f t="shared" si="9"/>
        <v>100</v>
      </c>
      <c r="L86" s="762">
        <v>105</v>
      </c>
      <c r="M86" s="762">
        <v>110</v>
      </c>
    </row>
    <row r="87" spans="1:13" ht="13.5">
      <c r="A87" s="777" t="str">
        <f>'Org structure'!E82</f>
        <v>8.3 - Roads &amp; stormwater Management</v>
      </c>
      <c r="B87" s="964"/>
      <c r="C87" s="763">
        <v>150000</v>
      </c>
      <c r="D87" s="762"/>
      <c r="E87" s="762"/>
      <c r="F87" s="762"/>
      <c r="G87" s="762"/>
      <c r="H87" s="762"/>
      <c r="I87" s="762"/>
      <c r="J87" s="75">
        <f t="shared" si="8"/>
        <v>0</v>
      </c>
      <c r="K87" s="75">
        <f t="shared" si="9"/>
        <v>150000</v>
      </c>
      <c r="L87" s="762">
        <v>157352</v>
      </c>
      <c r="M87" s="762">
        <v>165065</v>
      </c>
    </row>
    <row r="88" spans="1:13" ht="13.5">
      <c r="A88" s="777" t="str">
        <f>'Org structure'!E83</f>
        <v>8.4 - Water Networks</v>
      </c>
      <c r="B88" s="964"/>
      <c r="C88" s="763"/>
      <c r="D88" s="762"/>
      <c r="E88" s="762"/>
      <c r="F88" s="762"/>
      <c r="G88" s="762"/>
      <c r="H88" s="762"/>
      <c r="I88" s="762"/>
      <c r="J88" s="75">
        <f t="shared" si="8"/>
        <v>0</v>
      </c>
      <c r="K88" s="75">
        <f t="shared" si="9"/>
        <v>0</v>
      </c>
      <c r="L88" s="762"/>
      <c r="M88" s="762"/>
    </row>
    <row r="89" spans="1:13" ht="13.5">
      <c r="A89" s="777" t="str">
        <f>'Org structure'!E84</f>
        <v>8.5 - Water Purification</v>
      </c>
      <c r="B89" s="964"/>
      <c r="C89" s="763"/>
      <c r="D89" s="762"/>
      <c r="E89" s="762"/>
      <c r="F89" s="762"/>
      <c r="G89" s="762"/>
      <c r="H89" s="762"/>
      <c r="I89" s="762"/>
      <c r="J89" s="75">
        <f t="shared" si="8"/>
        <v>0</v>
      </c>
      <c r="K89" s="75">
        <f t="shared" si="9"/>
        <v>0</v>
      </c>
      <c r="L89" s="762"/>
      <c r="M89" s="762"/>
    </row>
    <row r="90" spans="1:13" ht="13.5">
      <c r="A90" s="777" t="str">
        <f>'Org structure'!E85</f>
        <v>8.6 - Building &amp; Housing</v>
      </c>
      <c r="B90" s="964"/>
      <c r="C90" s="763">
        <v>462225</v>
      </c>
      <c r="D90" s="762"/>
      <c r="E90" s="762"/>
      <c r="F90" s="762"/>
      <c r="G90" s="762"/>
      <c r="H90" s="762"/>
      <c r="I90" s="762"/>
      <c r="J90" s="75">
        <f t="shared" si="8"/>
        <v>0</v>
      </c>
      <c r="K90" s="75">
        <f t="shared" si="9"/>
        <v>462225</v>
      </c>
      <c r="L90" s="762">
        <v>484874</v>
      </c>
      <c r="M90" s="762">
        <v>508633</v>
      </c>
    </row>
    <row r="91" spans="1:13" ht="13.5">
      <c r="A91" s="777" t="str">
        <f>'Org structure'!E86</f>
        <v>8.7 - Project Management</v>
      </c>
      <c r="B91" s="964"/>
      <c r="C91" s="763">
        <v>73247000</v>
      </c>
      <c r="D91" s="762"/>
      <c r="E91" s="762"/>
      <c r="F91" s="762"/>
      <c r="G91" s="762"/>
      <c r="H91" s="762"/>
      <c r="I91" s="762"/>
      <c r="J91" s="75">
        <f t="shared" si="8"/>
        <v>0</v>
      </c>
      <c r="K91" s="75">
        <f t="shared" si="9"/>
        <v>73247000</v>
      </c>
      <c r="L91" s="762">
        <v>87151001</v>
      </c>
      <c r="M91" s="762">
        <v>94284000</v>
      </c>
    </row>
    <row r="92" spans="1:13" ht="13.5">
      <c r="A92" s="777" t="str">
        <f>'Org structure'!E87</f>
        <v>8.8 - Sewerage Purification</v>
      </c>
      <c r="B92" s="964"/>
      <c r="C92" s="763"/>
      <c r="D92" s="762"/>
      <c r="E92" s="762"/>
      <c r="F92" s="762"/>
      <c r="G92" s="762"/>
      <c r="H92" s="762"/>
      <c r="I92" s="762"/>
      <c r="J92" s="75">
        <f t="shared" si="8"/>
        <v>0</v>
      </c>
      <c r="K92" s="75">
        <f t="shared" si="9"/>
        <v>0</v>
      </c>
      <c r="L92" s="762"/>
      <c r="M92" s="764"/>
    </row>
    <row r="93" spans="1:13" ht="13.5">
      <c r="A93" s="777">
        <f>'Org structure'!E88</f>
        <v>0</v>
      </c>
      <c r="B93" s="964"/>
      <c r="C93" s="763"/>
      <c r="D93" s="762"/>
      <c r="E93" s="762"/>
      <c r="F93" s="762"/>
      <c r="G93" s="762"/>
      <c r="H93" s="762"/>
      <c r="I93" s="762"/>
      <c r="J93" s="75">
        <f t="shared" si="8"/>
        <v>0</v>
      </c>
      <c r="K93" s="75">
        <f t="shared" si="9"/>
        <v>0</v>
      </c>
      <c r="L93" s="762"/>
      <c r="M93" s="764"/>
    </row>
    <row r="94" spans="1:13" ht="13.5">
      <c r="A94" s="777">
        <f>'Org structure'!E89</f>
        <v>0</v>
      </c>
      <c r="B94" s="964"/>
      <c r="C94" s="763"/>
      <c r="D94" s="762"/>
      <c r="E94" s="762"/>
      <c r="F94" s="762"/>
      <c r="G94" s="762"/>
      <c r="H94" s="762"/>
      <c r="I94" s="762"/>
      <c r="J94" s="75">
        <f t="shared" si="8"/>
        <v>0</v>
      </c>
      <c r="K94" s="75">
        <f t="shared" si="9"/>
        <v>0</v>
      </c>
      <c r="L94" s="762"/>
      <c r="M94" s="764"/>
    </row>
    <row r="95" spans="1:13" ht="13.5">
      <c r="A95" s="774" t="str">
        <f>'Org structure'!A10</f>
        <v>Vote 9 - [NAME OF VOTE 9]</v>
      </c>
      <c r="B95" s="964"/>
      <c r="C95" s="761">
        <f>SUM(C96:C105)</f>
        <v>0</v>
      </c>
      <c r="D95" s="760">
        <f t="shared" ref="D95:I95" si="12">SUM(D96:D105)</f>
        <v>0</v>
      </c>
      <c r="E95" s="760">
        <f t="shared" si="12"/>
        <v>0</v>
      </c>
      <c r="F95" s="760">
        <f t="shared" si="12"/>
        <v>0</v>
      </c>
      <c r="G95" s="760">
        <f t="shared" si="12"/>
        <v>0</v>
      </c>
      <c r="H95" s="760">
        <f t="shared" si="12"/>
        <v>0</v>
      </c>
      <c r="I95" s="760">
        <f t="shared" si="12"/>
        <v>0</v>
      </c>
      <c r="J95" s="75">
        <f t="shared" si="8"/>
        <v>0</v>
      </c>
      <c r="K95" s="75">
        <f t="shared" si="9"/>
        <v>0</v>
      </c>
      <c r="L95" s="760">
        <f>SUM(L96:L105)</f>
        <v>0</v>
      </c>
      <c r="M95" s="788">
        <f>SUM(M96:M105)</f>
        <v>0</v>
      </c>
    </row>
    <row r="96" spans="1:13" ht="13.5">
      <c r="A96" s="777" t="str">
        <f>'Org structure'!E91</f>
        <v>9.1 - [Name of sub-vote]</v>
      </c>
      <c r="B96" s="964"/>
      <c r="C96" s="763"/>
      <c r="D96" s="762"/>
      <c r="E96" s="762"/>
      <c r="F96" s="762"/>
      <c r="G96" s="762"/>
      <c r="H96" s="762"/>
      <c r="I96" s="762"/>
      <c r="J96" s="75">
        <f t="shared" si="8"/>
        <v>0</v>
      </c>
      <c r="K96" s="75">
        <f t="shared" si="9"/>
        <v>0</v>
      </c>
      <c r="L96" s="762"/>
      <c r="M96" s="764"/>
    </row>
    <row r="97" spans="1:13" ht="13.5">
      <c r="A97" s="777">
        <f>'Org structure'!E92</f>
        <v>0</v>
      </c>
      <c r="B97" s="964"/>
      <c r="C97" s="763"/>
      <c r="D97" s="762"/>
      <c r="E97" s="762"/>
      <c r="F97" s="762"/>
      <c r="G97" s="762"/>
      <c r="H97" s="762"/>
      <c r="I97" s="762"/>
      <c r="J97" s="75">
        <f t="shared" si="8"/>
        <v>0</v>
      </c>
      <c r="K97" s="75">
        <f t="shared" si="9"/>
        <v>0</v>
      </c>
      <c r="L97" s="762"/>
      <c r="M97" s="764"/>
    </row>
    <row r="98" spans="1:13" ht="13.5">
      <c r="A98" s="777">
        <f>'Org structure'!E93</f>
        <v>0</v>
      </c>
      <c r="B98" s="964"/>
      <c r="C98" s="763"/>
      <c r="D98" s="762"/>
      <c r="E98" s="762"/>
      <c r="F98" s="762"/>
      <c r="G98" s="762"/>
      <c r="H98" s="762"/>
      <c r="I98" s="762"/>
      <c r="J98" s="75">
        <f t="shared" si="8"/>
        <v>0</v>
      </c>
      <c r="K98" s="75">
        <f t="shared" si="9"/>
        <v>0</v>
      </c>
      <c r="L98" s="762"/>
      <c r="M98" s="764"/>
    </row>
    <row r="99" spans="1:13" ht="13.5">
      <c r="A99" s="777">
        <f>'Org structure'!E94</f>
        <v>0</v>
      </c>
      <c r="B99" s="964"/>
      <c r="C99" s="763"/>
      <c r="D99" s="762"/>
      <c r="E99" s="762"/>
      <c r="F99" s="762"/>
      <c r="G99" s="762"/>
      <c r="H99" s="762"/>
      <c r="I99" s="762"/>
      <c r="J99" s="75">
        <f t="shared" si="8"/>
        <v>0</v>
      </c>
      <c r="K99" s="75">
        <f t="shared" si="9"/>
        <v>0</v>
      </c>
      <c r="L99" s="762"/>
      <c r="M99" s="764"/>
    </row>
    <row r="100" spans="1:13" ht="13.5">
      <c r="A100" s="777">
        <f>'Org structure'!E95</f>
        <v>0</v>
      </c>
      <c r="B100" s="964"/>
      <c r="C100" s="763"/>
      <c r="D100" s="762"/>
      <c r="E100" s="762"/>
      <c r="F100" s="762"/>
      <c r="G100" s="762"/>
      <c r="H100" s="762"/>
      <c r="I100" s="762"/>
      <c r="J100" s="75">
        <f t="shared" si="8"/>
        <v>0</v>
      </c>
      <c r="K100" s="75">
        <f t="shared" si="9"/>
        <v>0</v>
      </c>
      <c r="L100" s="762"/>
      <c r="M100" s="764"/>
    </row>
    <row r="101" spans="1:13" ht="13.5">
      <c r="A101" s="777">
        <f>'Org structure'!E96</f>
        <v>0</v>
      </c>
      <c r="B101" s="964"/>
      <c r="C101" s="763"/>
      <c r="D101" s="762"/>
      <c r="E101" s="762"/>
      <c r="F101" s="762"/>
      <c r="G101" s="762"/>
      <c r="H101" s="762"/>
      <c r="I101" s="762"/>
      <c r="J101" s="75">
        <f t="shared" si="8"/>
        <v>0</v>
      </c>
      <c r="K101" s="75">
        <f t="shared" si="9"/>
        <v>0</v>
      </c>
      <c r="L101" s="762"/>
      <c r="M101" s="764"/>
    </row>
    <row r="102" spans="1:13" ht="13.5">
      <c r="A102" s="777">
        <f>'Org structure'!E97</f>
        <v>0</v>
      </c>
      <c r="B102" s="964"/>
      <c r="C102" s="763"/>
      <c r="D102" s="762"/>
      <c r="E102" s="762"/>
      <c r="F102" s="762"/>
      <c r="G102" s="762"/>
      <c r="H102" s="762"/>
      <c r="I102" s="762"/>
      <c r="J102" s="75">
        <f t="shared" si="8"/>
        <v>0</v>
      </c>
      <c r="K102" s="75">
        <f t="shared" si="9"/>
        <v>0</v>
      </c>
      <c r="L102" s="762"/>
      <c r="M102" s="764"/>
    </row>
    <row r="103" spans="1:13" ht="13.5">
      <c r="A103" s="777">
        <f>'Org structure'!E98</f>
        <v>0</v>
      </c>
      <c r="B103" s="964"/>
      <c r="C103" s="763"/>
      <c r="D103" s="762"/>
      <c r="E103" s="762"/>
      <c r="F103" s="762"/>
      <c r="G103" s="762"/>
      <c r="H103" s="762"/>
      <c r="I103" s="762"/>
      <c r="J103" s="75">
        <f t="shared" si="8"/>
        <v>0</v>
      </c>
      <c r="K103" s="75">
        <f t="shared" si="9"/>
        <v>0</v>
      </c>
      <c r="L103" s="762"/>
      <c r="M103" s="764"/>
    </row>
    <row r="104" spans="1:13" ht="13.5">
      <c r="A104" s="777">
        <f>'Org structure'!E99</f>
        <v>0</v>
      </c>
      <c r="B104" s="964"/>
      <c r="C104" s="763"/>
      <c r="D104" s="762"/>
      <c r="E104" s="762"/>
      <c r="F104" s="762"/>
      <c r="G104" s="762"/>
      <c r="H104" s="762"/>
      <c r="I104" s="762"/>
      <c r="J104" s="75">
        <f t="shared" si="8"/>
        <v>0</v>
      </c>
      <c r="K104" s="75">
        <f t="shared" si="9"/>
        <v>0</v>
      </c>
      <c r="L104" s="762"/>
      <c r="M104" s="764"/>
    </row>
    <row r="105" spans="1:13" ht="13.5">
      <c r="A105" s="777">
        <f>'Org structure'!E100</f>
        <v>0</v>
      </c>
      <c r="B105" s="964"/>
      <c r="C105" s="763"/>
      <c r="D105" s="762"/>
      <c r="E105" s="762"/>
      <c r="F105" s="762"/>
      <c r="G105" s="762"/>
      <c r="H105" s="762"/>
      <c r="I105" s="762"/>
      <c r="J105" s="75">
        <f t="shared" si="8"/>
        <v>0</v>
      </c>
      <c r="K105" s="75">
        <f t="shared" si="9"/>
        <v>0</v>
      </c>
      <c r="L105" s="762"/>
      <c r="M105" s="764"/>
    </row>
    <row r="106" spans="1:13" ht="13.5">
      <c r="A106" s="774" t="str">
        <f>'Org structure'!A11</f>
        <v>Vote 10 - [NAME OF VOTE 10]</v>
      </c>
      <c r="B106" s="964"/>
      <c r="C106" s="761">
        <f>SUM(C107:C116)</f>
        <v>0</v>
      </c>
      <c r="D106" s="760">
        <f t="shared" ref="D106:I106" si="13">SUM(D107:D116)</f>
        <v>0</v>
      </c>
      <c r="E106" s="760">
        <f t="shared" si="13"/>
        <v>0</v>
      </c>
      <c r="F106" s="760">
        <f t="shared" si="13"/>
        <v>0</v>
      </c>
      <c r="G106" s="760">
        <f t="shared" si="13"/>
        <v>0</v>
      </c>
      <c r="H106" s="760">
        <f t="shared" si="13"/>
        <v>0</v>
      </c>
      <c r="I106" s="760">
        <f t="shared" si="13"/>
        <v>0</v>
      </c>
      <c r="J106" s="75">
        <f t="shared" si="8"/>
        <v>0</v>
      </c>
      <c r="K106" s="75">
        <f t="shared" si="9"/>
        <v>0</v>
      </c>
      <c r="L106" s="760">
        <f>SUM(L107:L116)</f>
        <v>0</v>
      </c>
      <c r="M106" s="788">
        <f>SUM(M107:M116)</f>
        <v>0</v>
      </c>
    </row>
    <row r="107" spans="1:13" ht="13.5">
      <c r="A107" s="777" t="str">
        <f>'Org structure'!E102</f>
        <v>10.1 - [Name of sub-vote]</v>
      </c>
      <c r="B107" s="964"/>
      <c r="C107" s="763"/>
      <c r="D107" s="762"/>
      <c r="E107" s="762"/>
      <c r="F107" s="762"/>
      <c r="G107" s="762"/>
      <c r="H107" s="762"/>
      <c r="I107" s="762"/>
      <c r="J107" s="75">
        <f t="shared" si="8"/>
        <v>0</v>
      </c>
      <c r="K107" s="75">
        <f t="shared" si="9"/>
        <v>0</v>
      </c>
      <c r="L107" s="762"/>
      <c r="M107" s="764"/>
    </row>
    <row r="108" spans="1:13" ht="13.5">
      <c r="A108" s="777">
        <f>'Org structure'!E103</f>
        <v>0</v>
      </c>
      <c r="B108" s="964"/>
      <c r="C108" s="763"/>
      <c r="D108" s="762"/>
      <c r="E108" s="762"/>
      <c r="F108" s="762"/>
      <c r="G108" s="762"/>
      <c r="H108" s="762"/>
      <c r="I108" s="762"/>
      <c r="J108" s="75">
        <f t="shared" si="8"/>
        <v>0</v>
      </c>
      <c r="K108" s="75">
        <f t="shared" si="9"/>
        <v>0</v>
      </c>
      <c r="L108" s="762"/>
      <c r="M108" s="764"/>
    </row>
    <row r="109" spans="1:13" ht="13.5">
      <c r="A109" s="777">
        <f>'Org structure'!E104</f>
        <v>0</v>
      </c>
      <c r="B109" s="964"/>
      <c r="C109" s="763"/>
      <c r="D109" s="762"/>
      <c r="E109" s="762"/>
      <c r="F109" s="762"/>
      <c r="G109" s="762"/>
      <c r="H109" s="762"/>
      <c r="I109" s="762"/>
      <c r="J109" s="75">
        <f t="shared" si="8"/>
        <v>0</v>
      </c>
      <c r="K109" s="75">
        <f t="shared" si="9"/>
        <v>0</v>
      </c>
      <c r="L109" s="762"/>
      <c r="M109" s="764"/>
    </row>
    <row r="110" spans="1:13" ht="13.5">
      <c r="A110" s="777">
        <f>'Org structure'!E105</f>
        <v>0</v>
      </c>
      <c r="B110" s="964"/>
      <c r="C110" s="763"/>
      <c r="D110" s="762"/>
      <c r="E110" s="762"/>
      <c r="F110" s="762"/>
      <c r="G110" s="762"/>
      <c r="H110" s="762"/>
      <c r="I110" s="762"/>
      <c r="J110" s="75">
        <f t="shared" si="8"/>
        <v>0</v>
      </c>
      <c r="K110" s="75">
        <f t="shared" si="9"/>
        <v>0</v>
      </c>
      <c r="L110" s="762"/>
      <c r="M110" s="764"/>
    </row>
    <row r="111" spans="1:13" ht="13.5">
      <c r="A111" s="777">
        <f>'Org structure'!E106</f>
        <v>0</v>
      </c>
      <c r="B111" s="964"/>
      <c r="C111" s="763"/>
      <c r="D111" s="762"/>
      <c r="E111" s="762"/>
      <c r="F111" s="762"/>
      <c r="G111" s="762"/>
      <c r="H111" s="762"/>
      <c r="I111" s="762"/>
      <c r="J111" s="75">
        <f t="shared" si="8"/>
        <v>0</v>
      </c>
      <c r="K111" s="75">
        <f t="shared" si="9"/>
        <v>0</v>
      </c>
      <c r="L111" s="762"/>
      <c r="M111" s="764"/>
    </row>
    <row r="112" spans="1:13" ht="13.5">
      <c r="A112" s="777">
        <f>'Org structure'!E107</f>
        <v>0</v>
      </c>
      <c r="B112" s="964"/>
      <c r="C112" s="763"/>
      <c r="D112" s="762"/>
      <c r="E112" s="762"/>
      <c r="F112" s="762"/>
      <c r="G112" s="762"/>
      <c r="H112" s="762"/>
      <c r="I112" s="762"/>
      <c r="J112" s="75">
        <f t="shared" si="8"/>
        <v>0</v>
      </c>
      <c r="K112" s="75">
        <f t="shared" si="9"/>
        <v>0</v>
      </c>
      <c r="L112" s="762"/>
      <c r="M112" s="764"/>
    </row>
    <row r="113" spans="1:13" ht="13.5">
      <c r="A113" s="777">
        <f>'Org structure'!E108</f>
        <v>0</v>
      </c>
      <c r="B113" s="964"/>
      <c r="C113" s="763"/>
      <c r="D113" s="762"/>
      <c r="E113" s="762"/>
      <c r="F113" s="762"/>
      <c r="G113" s="762"/>
      <c r="H113" s="762"/>
      <c r="I113" s="762"/>
      <c r="J113" s="75">
        <f t="shared" si="8"/>
        <v>0</v>
      </c>
      <c r="K113" s="75">
        <f t="shared" si="9"/>
        <v>0</v>
      </c>
      <c r="L113" s="762"/>
      <c r="M113" s="764"/>
    </row>
    <row r="114" spans="1:13" ht="13.5">
      <c r="A114" s="777">
        <f>'Org structure'!E109</f>
        <v>0</v>
      </c>
      <c r="B114" s="964"/>
      <c r="C114" s="763"/>
      <c r="D114" s="762"/>
      <c r="E114" s="762"/>
      <c r="F114" s="762"/>
      <c r="G114" s="762"/>
      <c r="H114" s="762"/>
      <c r="I114" s="762"/>
      <c r="J114" s="75">
        <f t="shared" si="8"/>
        <v>0</v>
      </c>
      <c r="K114" s="75">
        <f t="shared" si="9"/>
        <v>0</v>
      </c>
      <c r="L114" s="762"/>
      <c r="M114" s="764"/>
    </row>
    <row r="115" spans="1:13" ht="13.5">
      <c r="A115" s="777">
        <f>'Org structure'!E110</f>
        <v>0</v>
      </c>
      <c r="B115" s="964"/>
      <c r="C115" s="763"/>
      <c r="D115" s="762"/>
      <c r="E115" s="762"/>
      <c r="F115" s="762"/>
      <c r="G115" s="762"/>
      <c r="H115" s="762"/>
      <c r="I115" s="762"/>
      <c r="J115" s="75">
        <f t="shared" si="8"/>
        <v>0</v>
      </c>
      <c r="K115" s="75">
        <f t="shared" si="9"/>
        <v>0</v>
      </c>
      <c r="L115" s="762"/>
      <c r="M115" s="764"/>
    </row>
    <row r="116" spans="1:13" ht="13.5">
      <c r="A116" s="777">
        <f>'Org structure'!E111</f>
        <v>0</v>
      </c>
      <c r="B116" s="964"/>
      <c r="C116" s="763"/>
      <c r="D116" s="762"/>
      <c r="E116" s="762"/>
      <c r="F116" s="762"/>
      <c r="G116" s="762"/>
      <c r="H116" s="762"/>
      <c r="I116" s="762"/>
      <c r="J116" s="75">
        <f t="shared" si="8"/>
        <v>0</v>
      </c>
      <c r="K116" s="75">
        <f t="shared" si="9"/>
        <v>0</v>
      </c>
      <c r="L116" s="762"/>
      <c r="M116" s="764"/>
    </row>
    <row r="117" spans="1:13" ht="13.5">
      <c r="A117" s="774" t="str">
        <f>'Org structure'!A12</f>
        <v>Vote 11 - [NAME OF VOTE 11]</v>
      </c>
      <c r="B117" s="964"/>
      <c r="C117" s="761">
        <f>SUM(C118:C127)</f>
        <v>0</v>
      </c>
      <c r="D117" s="760">
        <f t="shared" ref="D117:I117" si="14">SUM(D118:D127)</f>
        <v>0</v>
      </c>
      <c r="E117" s="760">
        <f t="shared" si="14"/>
        <v>0</v>
      </c>
      <c r="F117" s="760">
        <f t="shared" si="14"/>
        <v>0</v>
      </c>
      <c r="G117" s="760">
        <f t="shared" si="14"/>
        <v>0</v>
      </c>
      <c r="H117" s="760">
        <f t="shared" si="14"/>
        <v>0</v>
      </c>
      <c r="I117" s="760">
        <f t="shared" si="14"/>
        <v>0</v>
      </c>
      <c r="J117" s="75">
        <f t="shared" si="8"/>
        <v>0</v>
      </c>
      <c r="K117" s="75">
        <f t="shared" si="9"/>
        <v>0</v>
      </c>
      <c r="L117" s="760">
        <f>SUM(L118:L127)</f>
        <v>0</v>
      </c>
      <c r="M117" s="788">
        <f>SUM(M118:M127)</f>
        <v>0</v>
      </c>
    </row>
    <row r="118" spans="1:13" ht="13.5">
      <c r="A118" s="777" t="str">
        <f>'Org structure'!E113</f>
        <v>11.1 - [Name of sub-vote]</v>
      </c>
      <c r="B118" s="964"/>
      <c r="C118" s="763"/>
      <c r="D118" s="762"/>
      <c r="E118" s="762"/>
      <c r="F118" s="762"/>
      <c r="G118" s="762"/>
      <c r="H118" s="762"/>
      <c r="I118" s="762"/>
      <c r="J118" s="75">
        <f t="shared" si="8"/>
        <v>0</v>
      </c>
      <c r="K118" s="75">
        <f t="shared" si="9"/>
        <v>0</v>
      </c>
      <c r="L118" s="762"/>
      <c r="M118" s="764"/>
    </row>
    <row r="119" spans="1:13" ht="13.5">
      <c r="A119" s="777">
        <f>'Org structure'!E114</f>
        <v>0</v>
      </c>
      <c r="B119" s="964"/>
      <c r="C119" s="763"/>
      <c r="D119" s="762"/>
      <c r="E119" s="762"/>
      <c r="F119" s="762"/>
      <c r="G119" s="762"/>
      <c r="H119" s="762"/>
      <c r="I119" s="762"/>
      <c r="J119" s="75">
        <f t="shared" si="8"/>
        <v>0</v>
      </c>
      <c r="K119" s="75">
        <f t="shared" si="9"/>
        <v>0</v>
      </c>
      <c r="L119" s="762"/>
      <c r="M119" s="764"/>
    </row>
    <row r="120" spans="1:13" ht="13.5">
      <c r="A120" s="777">
        <f>'Org structure'!E115</f>
        <v>0</v>
      </c>
      <c r="B120" s="964"/>
      <c r="C120" s="763"/>
      <c r="D120" s="762"/>
      <c r="E120" s="762"/>
      <c r="F120" s="762"/>
      <c r="G120" s="762"/>
      <c r="H120" s="762"/>
      <c r="I120" s="762"/>
      <c r="J120" s="75">
        <f t="shared" si="8"/>
        <v>0</v>
      </c>
      <c r="K120" s="75">
        <f t="shared" si="9"/>
        <v>0</v>
      </c>
      <c r="L120" s="762"/>
      <c r="M120" s="764"/>
    </row>
    <row r="121" spans="1:13" ht="13.5">
      <c r="A121" s="777">
        <f>'Org structure'!E116</f>
        <v>0</v>
      </c>
      <c r="B121" s="964"/>
      <c r="C121" s="763"/>
      <c r="D121" s="762"/>
      <c r="E121" s="762"/>
      <c r="F121" s="762"/>
      <c r="G121" s="762"/>
      <c r="H121" s="762"/>
      <c r="I121" s="762"/>
      <c r="J121" s="75">
        <f t="shared" si="8"/>
        <v>0</v>
      </c>
      <c r="K121" s="75">
        <f t="shared" si="9"/>
        <v>0</v>
      </c>
      <c r="L121" s="762"/>
      <c r="M121" s="764"/>
    </row>
    <row r="122" spans="1:13" ht="13.5">
      <c r="A122" s="777">
        <f>'Org structure'!E117</f>
        <v>0</v>
      </c>
      <c r="B122" s="964"/>
      <c r="C122" s="763"/>
      <c r="D122" s="762"/>
      <c r="E122" s="762"/>
      <c r="F122" s="762"/>
      <c r="G122" s="762"/>
      <c r="H122" s="762"/>
      <c r="I122" s="762"/>
      <c r="J122" s="75">
        <f t="shared" si="8"/>
        <v>0</v>
      </c>
      <c r="K122" s="75">
        <f t="shared" si="9"/>
        <v>0</v>
      </c>
      <c r="L122" s="762"/>
      <c r="M122" s="764"/>
    </row>
    <row r="123" spans="1:13" ht="13.5">
      <c r="A123" s="777">
        <f>'Org structure'!E118</f>
        <v>0</v>
      </c>
      <c r="B123" s="964"/>
      <c r="C123" s="763"/>
      <c r="D123" s="762"/>
      <c r="E123" s="762"/>
      <c r="F123" s="762"/>
      <c r="G123" s="762"/>
      <c r="H123" s="762"/>
      <c r="I123" s="762"/>
      <c r="J123" s="75">
        <f t="shared" si="8"/>
        <v>0</v>
      </c>
      <c r="K123" s="75">
        <f t="shared" si="9"/>
        <v>0</v>
      </c>
      <c r="L123" s="762"/>
      <c r="M123" s="764"/>
    </row>
    <row r="124" spans="1:13" ht="13.5">
      <c r="A124" s="777">
        <f>'Org structure'!E119</f>
        <v>0</v>
      </c>
      <c r="B124" s="964"/>
      <c r="C124" s="763"/>
      <c r="D124" s="762"/>
      <c r="E124" s="762"/>
      <c r="F124" s="762"/>
      <c r="G124" s="762"/>
      <c r="H124" s="762"/>
      <c r="I124" s="762"/>
      <c r="J124" s="75">
        <f t="shared" si="8"/>
        <v>0</v>
      </c>
      <c r="K124" s="75">
        <f t="shared" si="9"/>
        <v>0</v>
      </c>
      <c r="L124" s="762"/>
      <c r="M124" s="764"/>
    </row>
    <row r="125" spans="1:13" ht="13.5">
      <c r="A125" s="777">
        <f>'Org structure'!E120</f>
        <v>0</v>
      </c>
      <c r="B125" s="964"/>
      <c r="C125" s="763"/>
      <c r="D125" s="762"/>
      <c r="E125" s="762"/>
      <c r="F125" s="762"/>
      <c r="G125" s="762"/>
      <c r="H125" s="762"/>
      <c r="I125" s="762"/>
      <c r="J125" s="75">
        <f t="shared" si="8"/>
        <v>0</v>
      </c>
      <c r="K125" s="75">
        <f t="shared" si="9"/>
        <v>0</v>
      </c>
      <c r="L125" s="762"/>
      <c r="M125" s="764"/>
    </row>
    <row r="126" spans="1:13" ht="13.5">
      <c r="A126" s="777">
        <f>'Org structure'!E121</f>
        <v>0</v>
      </c>
      <c r="B126" s="964"/>
      <c r="C126" s="763"/>
      <c r="D126" s="762"/>
      <c r="E126" s="762"/>
      <c r="F126" s="762"/>
      <c r="G126" s="762"/>
      <c r="H126" s="762"/>
      <c r="I126" s="762"/>
      <c r="J126" s="75">
        <f t="shared" si="8"/>
        <v>0</v>
      </c>
      <c r="K126" s="75">
        <f t="shared" si="9"/>
        <v>0</v>
      </c>
      <c r="L126" s="762"/>
      <c r="M126" s="764"/>
    </row>
    <row r="127" spans="1:13" ht="13.5">
      <c r="A127" s="777">
        <f>'Org structure'!E122</f>
        <v>0</v>
      </c>
      <c r="B127" s="964"/>
      <c r="C127" s="763"/>
      <c r="D127" s="762"/>
      <c r="E127" s="762"/>
      <c r="F127" s="762"/>
      <c r="G127" s="762"/>
      <c r="H127" s="762"/>
      <c r="I127" s="762"/>
      <c r="J127" s="75">
        <f t="shared" si="8"/>
        <v>0</v>
      </c>
      <c r="K127" s="75">
        <f t="shared" si="9"/>
        <v>0</v>
      </c>
      <c r="L127" s="762"/>
      <c r="M127" s="764"/>
    </row>
    <row r="128" spans="1:13" ht="13.5">
      <c r="A128" s="774" t="str">
        <f>'Org structure'!A13</f>
        <v>Vote 12 - [NAME OF VOTE 12]</v>
      </c>
      <c r="B128" s="964"/>
      <c r="C128" s="761">
        <f>SUM(C129:C138)</f>
        <v>0</v>
      </c>
      <c r="D128" s="760">
        <f t="shared" ref="D128:I128" si="15">SUM(D129:D138)</f>
        <v>0</v>
      </c>
      <c r="E128" s="760">
        <f t="shared" si="15"/>
        <v>0</v>
      </c>
      <c r="F128" s="760">
        <f t="shared" si="15"/>
        <v>0</v>
      </c>
      <c r="G128" s="760">
        <f t="shared" si="15"/>
        <v>0</v>
      </c>
      <c r="H128" s="760">
        <f t="shared" si="15"/>
        <v>0</v>
      </c>
      <c r="I128" s="760">
        <f t="shared" si="15"/>
        <v>0</v>
      </c>
      <c r="J128" s="75">
        <f t="shared" si="8"/>
        <v>0</v>
      </c>
      <c r="K128" s="75">
        <f t="shared" si="9"/>
        <v>0</v>
      </c>
      <c r="L128" s="760">
        <f>SUM(L129:L138)</f>
        <v>0</v>
      </c>
      <c r="M128" s="788">
        <f>SUM(M129:M138)</f>
        <v>0</v>
      </c>
    </row>
    <row r="129" spans="1:13" ht="13.5">
      <c r="A129" s="777" t="str">
        <f>'Org structure'!E124</f>
        <v>12.1 - [Name of sub-vote]</v>
      </c>
      <c r="B129" s="964"/>
      <c r="C129" s="763"/>
      <c r="D129" s="762"/>
      <c r="E129" s="762"/>
      <c r="F129" s="762"/>
      <c r="G129" s="762"/>
      <c r="H129" s="762"/>
      <c r="I129" s="762"/>
      <c r="J129" s="75">
        <f t="shared" si="8"/>
        <v>0</v>
      </c>
      <c r="K129" s="75">
        <f t="shared" si="9"/>
        <v>0</v>
      </c>
      <c r="L129" s="762"/>
      <c r="M129" s="764"/>
    </row>
    <row r="130" spans="1:13" ht="13.5">
      <c r="A130" s="777">
        <f>'Org structure'!E125</f>
        <v>0</v>
      </c>
      <c r="B130" s="964"/>
      <c r="C130" s="763"/>
      <c r="D130" s="762"/>
      <c r="E130" s="762"/>
      <c r="F130" s="762"/>
      <c r="G130" s="762"/>
      <c r="H130" s="762"/>
      <c r="I130" s="762"/>
      <c r="J130" s="75">
        <f t="shared" si="8"/>
        <v>0</v>
      </c>
      <c r="K130" s="75">
        <f t="shared" si="9"/>
        <v>0</v>
      </c>
      <c r="L130" s="762"/>
      <c r="M130" s="764"/>
    </row>
    <row r="131" spans="1:13" ht="13.5">
      <c r="A131" s="777">
        <f>'Org structure'!E126</f>
        <v>0</v>
      </c>
      <c r="B131" s="964"/>
      <c r="C131" s="763"/>
      <c r="D131" s="762"/>
      <c r="E131" s="762"/>
      <c r="F131" s="762"/>
      <c r="G131" s="762"/>
      <c r="H131" s="762"/>
      <c r="I131" s="762"/>
      <c r="J131" s="75">
        <f t="shared" si="8"/>
        <v>0</v>
      </c>
      <c r="K131" s="75">
        <f t="shared" si="9"/>
        <v>0</v>
      </c>
      <c r="L131" s="762"/>
      <c r="M131" s="764"/>
    </row>
    <row r="132" spans="1:13" ht="13.5">
      <c r="A132" s="777">
        <f>'Org structure'!E127</f>
        <v>0</v>
      </c>
      <c r="B132" s="964"/>
      <c r="C132" s="763"/>
      <c r="D132" s="762"/>
      <c r="E132" s="762"/>
      <c r="F132" s="762"/>
      <c r="G132" s="762"/>
      <c r="H132" s="762"/>
      <c r="I132" s="762"/>
      <c r="J132" s="75">
        <f t="shared" si="8"/>
        <v>0</v>
      </c>
      <c r="K132" s="75">
        <f t="shared" si="9"/>
        <v>0</v>
      </c>
      <c r="L132" s="762"/>
      <c r="M132" s="764"/>
    </row>
    <row r="133" spans="1:13" ht="13.5">
      <c r="A133" s="777">
        <f>'Org structure'!E128</f>
        <v>0</v>
      </c>
      <c r="B133" s="964"/>
      <c r="C133" s="763"/>
      <c r="D133" s="762"/>
      <c r="E133" s="762"/>
      <c r="F133" s="762"/>
      <c r="G133" s="762"/>
      <c r="H133" s="762"/>
      <c r="I133" s="762"/>
      <c r="J133" s="75">
        <f t="shared" si="8"/>
        <v>0</v>
      </c>
      <c r="K133" s="75">
        <f t="shared" si="9"/>
        <v>0</v>
      </c>
      <c r="L133" s="762"/>
      <c r="M133" s="764"/>
    </row>
    <row r="134" spans="1:13" ht="13.5">
      <c r="A134" s="777">
        <f>'Org structure'!E129</f>
        <v>0</v>
      </c>
      <c r="B134" s="964"/>
      <c r="C134" s="763"/>
      <c r="D134" s="762"/>
      <c r="E134" s="762"/>
      <c r="F134" s="762"/>
      <c r="G134" s="762"/>
      <c r="H134" s="762"/>
      <c r="I134" s="762"/>
      <c r="J134" s="75">
        <f t="shared" si="8"/>
        <v>0</v>
      </c>
      <c r="K134" s="75">
        <f t="shared" si="9"/>
        <v>0</v>
      </c>
      <c r="L134" s="762"/>
      <c r="M134" s="764"/>
    </row>
    <row r="135" spans="1:13" ht="13.5">
      <c r="A135" s="777">
        <f>'Org structure'!E130</f>
        <v>0</v>
      </c>
      <c r="B135" s="964"/>
      <c r="C135" s="763"/>
      <c r="D135" s="762"/>
      <c r="E135" s="762"/>
      <c r="F135" s="762"/>
      <c r="G135" s="762"/>
      <c r="H135" s="762"/>
      <c r="I135" s="762"/>
      <c r="J135" s="75">
        <f t="shared" si="8"/>
        <v>0</v>
      </c>
      <c r="K135" s="75">
        <f t="shared" si="9"/>
        <v>0</v>
      </c>
      <c r="L135" s="762"/>
      <c r="M135" s="764"/>
    </row>
    <row r="136" spans="1:13" ht="13.5">
      <c r="A136" s="777">
        <f>'Org structure'!E131</f>
        <v>0</v>
      </c>
      <c r="B136" s="964"/>
      <c r="C136" s="763"/>
      <c r="D136" s="762"/>
      <c r="E136" s="762"/>
      <c r="F136" s="762"/>
      <c r="G136" s="762"/>
      <c r="H136" s="762"/>
      <c r="I136" s="762"/>
      <c r="J136" s="75">
        <f t="shared" ref="J136:J171" si="16">SUM(E136:I136)</f>
        <v>0</v>
      </c>
      <c r="K136" s="75">
        <f t="shared" ref="K136:K171" si="17">IF(D136=0,C136+J136,D136+J136)</f>
        <v>0</v>
      </c>
      <c r="L136" s="762"/>
      <c r="M136" s="764"/>
    </row>
    <row r="137" spans="1:13" ht="13.5">
      <c r="A137" s="777">
        <f>'Org structure'!E132</f>
        <v>0</v>
      </c>
      <c r="B137" s="964"/>
      <c r="C137" s="763"/>
      <c r="D137" s="762"/>
      <c r="E137" s="762"/>
      <c r="F137" s="762"/>
      <c r="G137" s="762"/>
      <c r="H137" s="762"/>
      <c r="I137" s="762"/>
      <c r="J137" s="75">
        <f t="shared" si="16"/>
        <v>0</v>
      </c>
      <c r="K137" s="75">
        <f t="shared" si="17"/>
        <v>0</v>
      </c>
      <c r="L137" s="762"/>
      <c r="M137" s="764"/>
    </row>
    <row r="138" spans="1:13" ht="13.5">
      <c r="A138" s="777">
        <f>'Org structure'!E133</f>
        <v>0</v>
      </c>
      <c r="B138" s="964"/>
      <c r="C138" s="763"/>
      <c r="D138" s="762"/>
      <c r="E138" s="762"/>
      <c r="F138" s="762"/>
      <c r="G138" s="762"/>
      <c r="H138" s="762"/>
      <c r="I138" s="762"/>
      <c r="J138" s="75">
        <f t="shared" si="16"/>
        <v>0</v>
      </c>
      <c r="K138" s="75">
        <f t="shared" si="17"/>
        <v>0</v>
      </c>
      <c r="L138" s="762"/>
      <c r="M138" s="764"/>
    </row>
    <row r="139" spans="1:13" ht="13.5">
      <c r="A139" s="774" t="str">
        <f>'Org structure'!A14</f>
        <v>Vote 13 - [NAME OF VOTE 13]</v>
      </c>
      <c r="B139" s="964"/>
      <c r="C139" s="761">
        <f>SUM(C140:C149)</f>
        <v>0</v>
      </c>
      <c r="D139" s="760">
        <f t="shared" ref="D139:I139" si="18">SUM(D140:D149)</f>
        <v>0</v>
      </c>
      <c r="E139" s="760">
        <f t="shared" si="18"/>
        <v>0</v>
      </c>
      <c r="F139" s="760">
        <f t="shared" si="18"/>
        <v>0</v>
      </c>
      <c r="G139" s="760">
        <f t="shared" si="18"/>
        <v>0</v>
      </c>
      <c r="H139" s="760">
        <f t="shared" si="18"/>
        <v>0</v>
      </c>
      <c r="I139" s="760">
        <f t="shared" si="18"/>
        <v>0</v>
      </c>
      <c r="J139" s="75">
        <f t="shared" si="16"/>
        <v>0</v>
      </c>
      <c r="K139" s="75">
        <f t="shared" si="17"/>
        <v>0</v>
      </c>
      <c r="L139" s="760">
        <f>SUM(L140:L149)</f>
        <v>0</v>
      </c>
      <c r="M139" s="788">
        <f>SUM(M140:M149)</f>
        <v>0</v>
      </c>
    </row>
    <row r="140" spans="1:13" ht="13.5">
      <c r="A140" s="777" t="str">
        <f>'Org structure'!E135</f>
        <v>13.1 - [Name of sub-vote]</v>
      </c>
      <c r="B140" s="964"/>
      <c r="C140" s="763"/>
      <c r="D140" s="762"/>
      <c r="E140" s="762"/>
      <c r="F140" s="762"/>
      <c r="G140" s="762"/>
      <c r="H140" s="762"/>
      <c r="I140" s="762"/>
      <c r="J140" s="75">
        <f t="shared" si="16"/>
        <v>0</v>
      </c>
      <c r="K140" s="75">
        <f t="shared" si="17"/>
        <v>0</v>
      </c>
      <c r="L140" s="762"/>
      <c r="M140" s="764"/>
    </row>
    <row r="141" spans="1:13" ht="13.5">
      <c r="A141" s="777">
        <f>'Org structure'!E136</f>
        <v>0</v>
      </c>
      <c r="B141" s="964"/>
      <c r="C141" s="763"/>
      <c r="D141" s="762"/>
      <c r="E141" s="762"/>
      <c r="F141" s="762"/>
      <c r="G141" s="762"/>
      <c r="H141" s="762"/>
      <c r="I141" s="762"/>
      <c r="J141" s="75">
        <f t="shared" si="16"/>
        <v>0</v>
      </c>
      <c r="K141" s="75">
        <f t="shared" si="17"/>
        <v>0</v>
      </c>
      <c r="L141" s="762"/>
      <c r="M141" s="764"/>
    </row>
    <row r="142" spans="1:13" ht="13.5">
      <c r="A142" s="777">
        <f>'Org structure'!E137</f>
        <v>0</v>
      </c>
      <c r="B142" s="964"/>
      <c r="C142" s="763"/>
      <c r="D142" s="762"/>
      <c r="E142" s="762"/>
      <c r="F142" s="762"/>
      <c r="G142" s="762"/>
      <c r="H142" s="762"/>
      <c r="I142" s="762"/>
      <c r="J142" s="75">
        <f t="shared" si="16"/>
        <v>0</v>
      </c>
      <c r="K142" s="75">
        <f t="shared" si="17"/>
        <v>0</v>
      </c>
      <c r="L142" s="762"/>
      <c r="M142" s="764"/>
    </row>
    <row r="143" spans="1:13" ht="13.5">
      <c r="A143" s="777">
        <f>'Org structure'!E138</f>
        <v>0</v>
      </c>
      <c r="B143" s="964"/>
      <c r="C143" s="763"/>
      <c r="D143" s="762"/>
      <c r="E143" s="762"/>
      <c r="F143" s="762"/>
      <c r="G143" s="762"/>
      <c r="H143" s="762"/>
      <c r="I143" s="762"/>
      <c r="J143" s="75">
        <f t="shared" si="16"/>
        <v>0</v>
      </c>
      <c r="K143" s="75">
        <f t="shared" si="17"/>
        <v>0</v>
      </c>
      <c r="L143" s="762"/>
      <c r="M143" s="764"/>
    </row>
    <row r="144" spans="1:13" ht="13.5">
      <c r="A144" s="777">
        <f>'Org structure'!E139</f>
        <v>0</v>
      </c>
      <c r="B144" s="964"/>
      <c r="C144" s="763"/>
      <c r="D144" s="762"/>
      <c r="E144" s="762"/>
      <c r="F144" s="762"/>
      <c r="G144" s="762"/>
      <c r="H144" s="762"/>
      <c r="I144" s="762"/>
      <c r="J144" s="75">
        <f t="shared" si="16"/>
        <v>0</v>
      </c>
      <c r="K144" s="75">
        <f t="shared" si="17"/>
        <v>0</v>
      </c>
      <c r="L144" s="762"/>
      <c r="M144" s="764"/>
    </row>
    <row r="145" spans="1:13" ht="13.5">
      <c r="A145" s="777">
        <f>'Org structure'!E140</f>
        <v>0</v>
      </c>
      <c r="B145" s="964"/>
      <c r="C145" s="763"/>
      <c r="D145" s="762"/>
      <c r="E145" s="762"/>
      <c r="F145" s="762"/>
      <c r="G145" s="762"/>
      <c r="H145" s="762"/>
      <c r="I145" s="762"/>
      <c r="J145" s="75">
        <f t="shared" si="16"/>
        <v>0</v>
      </c>
      <c r="K145" s="75">
        <f t="shared" si="17"/>
        <v>0</v>
      </c>
      <c r="L145" s="762"/>
      <c r="M145" s="764"/>
    </row>
    <row r="146" spans="1:13" ht="13.5">
      <c r="A146" s="777">
        <f>'Org structure'!E141</f>
        <v>0</v>
      </c>
      <c r="B146" s="964"/>
      <c r="C146" s="763"/>
      <c r="D146" s="762"/>
      <c r="E146" s="762"/>
      <c r="F146" s="762"/>
      <c r="G146" s="762"/>
      <c r="H146" s="762"/>
      <c r="I146" s="762"/>
      <c r="J146" s="75">
        <f t="shared" si="16"/>
        <v>0</v>
      </c>
      <c r="K146" s="75">
        <f t="shared" si="17"/>
        <v>0</v>
      </c>
      <c r="L146" s="762"/>
      <c r="M146" s="764"/>
    </row>
    <row r="147" spans="1:13" ht="13.5">
      <c r="A147" s="777">
        <f>'Org structure'!E142</f>
        <v>0</v>
      </c>
      <c r="B147" s="964"/>
      <c r="C147" s="763"/>
      <c r="D147" s="762"/>
      <c r="E147" s="762"/>
      <c r="F147" s="762"/>
      <c r="G147" s="762"/>
      <c r="H147" s="762"/>
      <c r="I147" s="762"/>
      <c r="J147" s="75">
        <f t="shared" si="16"/>
        <v>0</v>
      </c>
      <c r="K147" s="75">
        <f t="shared" si="17"/>
        <v>0</v>
      </c>
      <c r="L147" s="762"/>
      <c r="M147" s="764"/>
    </row>
    <row r="148" spans="1:13" ht="13.5">
      <c r="A148" s="777">
        <f>'Org structure'!E143</f>
        <v>0</v>
      </c>
      <c r="B148" s="964"/>
      <c r="C148" s="763"/>
      <c r="D148" s="762"/>
      <c r="E148" s="762"/>
      <c r="F148" s="762"/>
      <c r="G148" s="762"/>
      <c r="H148" s="762"/>
      <c r="I148" s="762"/>
      <c r="J148" s="75">
        <f t="shared" si="16"/>
        <v>0</v>
      </c>
      <c r="K148" s="75">
        <f t="shared" si="17"/>
        <v>0</v>
      </c>
      <c r="L148" s="762"/>
      <c r="M148" s="764"/>
    </row>
    <row r="149" spans="1:13" ht="13.5">
      <c r="A149" s="777">
        <f>'Org structure'!E144</f>
        <v>0</v>
      </c>
      <c r="B149" s="964"/>
      <c r="C149" s="763"/>
      <c r="D149" s="762"/>
      <c r="E149" s="762"/>
      <c r="F149" s="762"/>
      <c r="G149" s="762"/>
      <c r="H149" s="762"/>
      <c r="I149" s="762"/>
      <c r="J149" s="75">
        <f t="shared" si="16"/>
        <v>0</v>
      </c>
      <c r="K149" s="75">
        <f t="shared" si="17"/>
        <v>0</v>
      </c>
      <c r="L149" s="762"/>
      <c r="M149" s="764"/>
    </row>
    <row r="150" spans="1:13" ht="13.5">
      <c r="A150" s="774" t="str">
        <f>'Org structure'!A15</f>
        <v>Vote 14 - [NAME OF VOTE 14]</v>
      </c>
      <c r="B150" s="964"/>
      <c r="C150" s="761">
        <f>SUM(C151:C160)</f>
        <v>0</v>
      </c>
      <c r="D150" s="760">
        <f t="shared" ref="D150:I150" si="19">SUM(D151:D160)</f>
        <v>0</v>
      </c>
      <c r="E150" s="760">
        <f t="shared" si="19"/>
        <v>0</v>
      </c>
      <c r="F150" s="760">
        <f t="shared" si="19"/>
        <v>0</v>
      </c>
      <c r="G150" s="760">
        <f t="shared" si="19"/>
        <v>0</v>
      </c>
      <c r="H150" s="760">
        <f t="shared" si="19"/>
        <v>0</v>
      </c>
      <c r="I150" s="760">
        <f t="shared" si="19"/>
        <v>0</v>
      </c>
      <c r="J150" s="75">
        <f t="shared" si="16"/>
        <v>0</v>
      </c>
      <c r="K150" s="75">
        <f t="shared" si="17"/>
        <v>0</v>
      </c>
      <c r="L150" s="760">
        <f>SUM(L151:L160)</f>
        <v>0</v>
      </c>
      <c r="M150" s="788">
        <f>SUM(M151:M160)</f>
        <v>0</v>
      </c>
    </row>
    <row r="151" spans="1:13" ht="13.5">
      <c r="A151" s="777" t="str">
        <f>'Org structure'!E146</f>
        <v>14.1 - [Name of sub-vote]</v>
      </c>
      <c r="B151" s="964"/>
      <c r="C151" s="763"/>
      <c r="D151" s="762"/>
      <c r="E151" s="762"/>
      <c r="F151" s="762"/>
      <c r="G151" s="762"/>
      <c r="H151" s="762"/>
      <c r="I151" s="762"/>
      <c r="J151" s="75">
        <f t="shared" si="16"/>
        <v>0</v>
      </c>
      <c r="K151" s="75">
        <f t="shared" si="17"/>
        <v>0</v>
      </c>
      <c r="L151" s="762"/>
      <c r="M151" s="764"/>
    </row>
    <row r="152" spans="1:13" ht="13.5">
      <c r="A152" s="777">
        <f>'Org structure'!E147</f>
        <v>0</v>
      </c>
      <c r="B152" s="964"/>
      <c r="C152" s="763"/>
      <c r="D152" s="762"/>
      <c r="E152" s="762"/>
      <c r="F152" s="762"/>
      <c r="G152" s="762"/>
      <c r="H152" s="762"/>
      <c r="I152" s="762"/>
      <c r="J152" s="75">
        <f t="shared" si="16"/>
        <v>0</v>
      </c>
      <c r="K152" s="75">
        <f t="shared" si="17"/>
        <v>0</v>
      </c>
      <c r="L152" s="762"/>
      <c r="M152" s="764"/>
    </row>
    <row r="153" spans="1:13" ht="13.5">
      <c r="A153" s="777">
        <f>'Org structure'!E148</f>
        <v>0</v>
      </c>
      <c r="B153" s="964"/>
      <c r="C153" s="763"/>
      <c r="D153" s="762"/>
      <c r="E153" s="762"/>
      <c r="F153" s="762"/>
      <c r="G153" s="762"/>
      <c r="H153" s="762"/>
      <c r="I153" s="762"/>
      <c r="J153" s="75">
        <f t="shared" si="16"/>
        <v>0</v>
      </c>
      <c r="K153" s="75">
        <f t="shared" si="17"/>
        <v>0</v>
      </c>
      <c r="L153" s="762"/>
      <c r="M153" s="764"/>
    </row>
    <row r="154" spans="1:13" ht="13.5">
      <c r="A154" s="777">
        <f>'Org structure'!E149</f>
        <v>0</v>
      </c>
      <c r="B154" s="964"/>
      <c r="C154" s="763"/>
      <c r="D154" s="762"/>
      <c r="E154" s="762"/>
      <c r="F154" s="762"/>
      <c r="G154" s="762"/>
      <c r="H154" s="762"/>
      <c r="I154" s="762"/>
      <c r="J154" s="75">
        <f t="shared" si="16"/>
        <v>0</v>
      </c>
      <c r="K154" s="75">
        <f t="shared" si="17"/>
        <v>0</v>
      </c>
      <c r="L154" s="762"/>
      <c r="M154" s="764"/>
    </row>
    <row r="155" spans="1:13" ht="13.5">
      <c r="A155" s="777">
        <f>'Org structure'!E150</f>
        <v>0</v>
      </c>
      <c r="B155" s="964"/>
      <c r="C155" s="763"/>
      <c r="D155" s="762"/>
      <c r="E155" s="762"/>
      <c r="F155" s="762"/>
      <c r="G155" s="762"/>
      <c r="H155" s="762"/>
      <c r="I155" s="762"/>
      <c r="J155" s="75">
        <f t="shared" si="16"/>
        <v>0</v>
      </c>
      <c r="K155" s="75">
        <f t="shared" si="17"/>
        <v>0</v>
      </c>
      <c r="L155" s="762"/>
      <c r="M155" s="764"/>
    </row>
    <row r="156" spans="1:13" ht="13.5">
      <c r="A156" s="777">
        <f>'Org structure'!E151</f>
        <v>0</v>
      </c>
      <c r="B156" s="964"/>
      <c r="C156" s="763"/>
      <c r="D156" s="762"/>
      <c r="E156" s="762"/>
      <c r="F156" s="762"/>
      <c r="G156" s="762"/>
      <c r="H156" s="762"/>
      <c r="I156" s="762"/>
      <c r="J156" s="75">
        <f t="shared" si="16"/>
        <v>0</v>
      </c>
      <c r="K156" s="75">
        <f t="shared" si="17"/>
        <v>0</v>
      </c>
      <c r="L156" s="762"/>
      <c r="M156" s="764"/>
    </row>
    <row r="157" spans="1:13" ht="13.5">
      <c r="A157" s="777">
        <f>'Org structure'!E152</f>
        <v>0</v>
      </c>
      <c r="B157" s="964"/>
      <c r="C157" s="763"/>
      <c r="D157" s="762"/>
      <c r="E157" s="762"/>
      <c r="F157" s="762"/>
      <c r="G157" s="762"/>
      <c r="H157" s="762"/>
      <c r="I157" s="762"/>
      <c r="J157" s="75">
        <f t="shared" si="16"/>
        <v>0</v>
      </c>
      <c r="K157" s="75">
        <f t="shared" si="17"/>
        <v>0</v>
      </c>
      <c r="L157" s="762"/>
      <c r="M157" s="764"/>
    </row>
    <row r="158" spans="1:13" ht="13.5">
      <c r="A158" s="777">
        <f>'Org structure'!E153</f>
        <v>0</v>
      </c>
      <c r="B158" s="964"/>
      <c r="C158" s="763"/>
      <c r="D158" s="762"/>
      <c r="E158" s="762"/>
      <c r="F158" s="762"/>
      <c r="G158" s="762"/>
      <c r="H158" s="762"/>
      <c r="I158" s="762"/>
      <c r="J158" s="75">
        <f t="shared" si="16"/>
        <v>0</v>
      </c>
      <c r="K158" s="75">
        <f t="shared" si="17"/>
        <v>0</v>
      </c>
      <c r="L158" s="762"/>
      <c r="M158" s="764"/>
    </row>
    <row r="159" spans="1:13" ht="13.5">
      <c r="A159" s="777">
        <f>'Org structure'!E154</f>
        <v>0</v>
      </c>
      <c r="B159" s="964"/>
      <c r="C159" s="763"/>
      <c r="D159" s="762"/>
      <c r="E159" s="762"/>
      <c r="F159" s="762"/>
      <c r="G159" s="762"/>
      <c r="H159" s="762"/>
      <c r="I159" s="762"/>
      <c r="J159" s="75">
        <f t="shared" si="16"/>
        <v>0</v>
      </c>
      <c r="K159" s="75">
        <f t="shared" si="17"/>
        <v>0</v>
      </c>
      <c r="L159" s="762"/>
      <c r="M159" s="764"/>
    </row>
    <row r="160" spans="1:13" ht="13.5">
      <c r="A160" s="777">
        <f>'Org structure'!E155</f>
        <v>0</v>
      </c>
      <c r="B160" s="964"/>
      <c r="C160" s="763"/>
      <c r="D160" s="762"/>
      <c r="E160" s="762"/>
      <c r="F160" s="762"/>
      <c r="G160" s="762"/>
      <c r="H160" s="762"/>
      <c r="I160" s="762"/>
      <c r="J160" s="75">
        <f t="shared" si="16"/>
        <v>0</v>
      </c>
      <c r="K160" s="75">
        <f t="shared" si="17"/>
        <v>0</v>
      </c>
      <c r="L160" s="762"/>
      <c r="M160" s="764"/>
    </row>
    <row r="161" spans="1:13" ht="13.5">
      <c r="A161" s="774" t="str">
        <f>'Org structure'!A16</f>
        <v>Vote 15 - [NAME OF VOTE 15]</v>
      </c>
      <c r="B161" s="964"/>
      <c r="C161" s="761">
        <f>SUM(C162:C171)</f>
        <v>0</v>
      </c>
      <c r="D161" s="760">
        <f t="shared" ref="D161:I161" si="20">SUM(D162:D171)</f>
        <v>0</v>
      </c>
      <c r="E161" s="760">
        <f t="shared" si="20"/>
        <v>0</v>
      </c>
      <c r="F161" s="760">
        <f t="shared" si="20"/>
        <v>0</v>
      </c>
      <c r="G161" s="760">
        <f t="shared" si="20"/>
        <v>0</v>
      </c>
      <c r="H161" s="760">
        <f t="shared" si="20"/>
        <v>0</v>
      </c>
      <c r="I161" s="760">
        <f t="shared" si="20"/>
        <v>0</v>
      </c>
      <c r="J161" s="75">
        <f t="shared" si="16"/>
        <v>0</v>
      </c>
      <c r="K161" s="75">
        <f t="shared" si="17"/>
        <v>0</v>
      </c>
      <c r="L161" s="760">
        <f>SUM(L162:L171)</f>
        <v>0</v>
      </c>
      <c r="M161" s="788">
        <f>SUM(M162:M171)</f>
        <v>0</v>
      </c>
    </row>
    <row r="162" spans="1:13" ht="13.5">
      <c r="A162" s="777" t="str">
        <f>'Org structure'!E157</f>
        <v>15.1 - [Name of sub-vote]</v>
      </c>
      <c r="B162" s="964"/>
      <c r="C162" s="763"/>
      <c r="D162" s="762"/>
      <c r="E162" s="762"/>
      <c r="F162" s="762"/>
      <c r="G162" s="762"/>
      <c r="H162" s="762"/>
      <c r="I162" s="762"/>
      <c r="J162" s="75">
        <f t="shared" si="16"/>
        <v>0</v>
      </c>
      <c r="K162" s="75">
        <f t="shared" si="17"/>
        <v>0</v>
      </c>
      <c r="L162" s="762"/>
      <c r="M162" s="764"/>
    </row>
    <row r="163" spans="1:13" ht="13.5">
      <c r="A163" s="777">
        <f>'Org structure'!E158</f>
        <v>0</v>
      </c>
      <c r="B163" s="964"/>
      <c r="C163" s="763"/>
      <c r="D163" s="762"/>
      <c r="E163" s="762"/>
      <c r="F163" s="762"/>
      <c r="G163" s="762"/>
      <c r="H163" s="762"/>
      <c r="I163" s="762"/>
      <c r="J163" s="75">
        <f t="shared" si="16"/>
        <v>0</v>
      </c>
      <c r="K163" s="75">
        <f t="shared" si="17"/>
        <v>0</v>
      </c>
      <c r="L163" s="762"/>
      <c r="M163" s="764"/>
    </row>
    <row r="164" spans="1:13" ht="13.5">
      <c r="A164" s="777">
        <f>'Org structure'!E159</f>
        <v>0</v>
      </c>
      <c r="B164" s="964"/>
      <c r="C164" s="763"/>
      <c r="D164" s="762"/>
      <c r="E164" s="762"/>
      <c r="F164" s="762"/>
      <c r="G164" s="762"/>
      <c r="H164" s="762"/>
      <c r="I164" s="762"/>
      <c r="J164" s="75">
        <f t="shared" si="16"/>
        <v>0</v>
      </c>
      <c r="K164" s="75">
        <f t="shared" si="17"/>
        <v>0</v>
      </c>
      <c r="L164" s="762"/>
      <c r="M164" s="764"/>
    </row>
    <row r="165" spans="1:13" ht="13.5">
      <c r="A165" s="777">
        <f>'Org structure'!E160</f>
        <v>0</v>
      </c>
      <c r="B165" s="964"/>
      <c r="C165" s="763"/>
      <c r="D165" s="762"/>
      <c r="E165" s="762"/>
      <c r="F165" s="762"/>
      <c r="G165" s="762"/>
      <c r="H165" s="762"/>
      <c r="I165" s="762"/>
      <c r="J165" s="75">
        <f t="shared" si="16"/>
        <v>0</v>
      </c>
      <c r="K165" s="75">
        <f t="shared" si="17"/>
        <v>0</v>
      </c>
      <c r="L165" s="762"/>
      <c r="M165" s="764"/>
    </row>
    <row r="166" spans="1:13" ht="13.5">
      <c r="A166" s="777">
        <f>'Org structure'!E161</f>
        <v>0</v>
      </c>
      <c r="B166" s="964"/>
      <c r="C166" s="763"/>
      <c r="D166" s="762"/>
      <c r="E166" s="762"/>
      <c r="F166" s="762"/>
      <c r="G166" s="762"/>
      <c r="H166" s="762"/>
      <c r="I166" s="762"/>
      <c r="J166" s="75">
        <f t="shared" si="16"/>
        <v>0</v>
      </c>
      <c r="K166" s="75">
        <f t="shared" si="17"/>
        <v>0</v>
      </c>
      <c r="L166" s="762"/>
      <c r="M166" s="764"/>
    </row>
    <row r="167" spans="1:13" ht="13.5">
      <c r="A167" s="777">
        <f>'Org structure'!E162</f>
        <v>0</v>
      </c>
      <c r="B167" s="964"/>
      <c r="C167" s="763"/>
      <c r="D167" s="762"/>
      <c r="E167" s="762"/>
      <c r="F167" s="762"/>
      <c r="G167" s="762"/>
      <c r="H167" s="762"/>
      <c r="I167" s="762"/>
      <c r="J167" s="75">
        <f t="shared" si="16"/>
        <v>0</v>
      </c>
      <c r="K167" s="75">
        <f t="shared" si="17"/>
        <v>0</v>
      </c>
      <c r="L167" s="762"/>
      <c r="M167" s="764"/>
    </row>
    <row r="168" spans="1:13" ht="13.5">
      <c r="A168" s="777">
        <f>'Org structure'!E163</f>
        <v>0</v>
      </c>
      <c r="B168" s="964"/>
      <c r="C168" s="763"/>
      <c r="D168" s="762"/>
      <c r="E168" s="762"/>
      <c r="F168" s="762"/>
      <c r="G168" s="762"/>
      <c r="H168" s="762"/>
      <c r="I168" s="762"/>
      <c r="J168" s="75">
        <f t="shared" si="16"/>
        <v>0</v>
      </c>
      <c r="K168" s="75">
        <f t="shared" si="17"/>
        <v>0</v>
      </c>
      <c r="L168" s="762"/>
      <c r="M168" s="764"/>
    </row>
    <row r="169" spans="1:13" ht="13.5">
      <c r="A169" s="777">
        <f>'Org structure'!E164</f>
        <v>0</v>
      </c>
      <c r="B169" s="964"/>
      <c r="C169" s="763"/>
      <c r="D169" s="762"/>
      <c r="E169" s="762"/>
      <c r="F169" s="762"/>
      <c r="G169" s="762"/>
      <c r="H169" s="762"/>
      <c r="I169" s="762"/>
      <c r="J169" s="75">
        <f t="shared" si="16"/>
        <v>0</v>
      </c>
      <c r="K169" s="75">
        <f t="shared" si="17"/>
        <v>0</v>
      </c>
      <c r="L169" s="762"/>
      <c r="M169" s="764"/>
    </row>
    <row r="170" spans="1:13" ht="13.5">
      <c r="A170" s="777">
        <f>'Org structure'!E165</f>
        <v>0</v>
      </c>
      <c r="B170" s="964"/>
      <c r="C170" s="763"/>
      <c r="D170" s="762"/>
      <c r="E170" s="762"/>
      <c r="F170" s="762"/>
      <c r="G170" s="762"/>
      <c r="H170" s="762"/>
      <c r="I170" s="762"/>
      <c r="J170" s="75">
        <f t="shared" si="16"/>
        <v>0</v>
      </c>
      <c r="K170" s="75">
        <f t="shared" si="17"/>
        <v>0</v>
      </c>
      <c r="L170" s="762"/>
      <c r="M170" s="764"/>
    </row>
    <row r="171" spans="1:13" ht="13.5">
      <c r="A171" s="777">
        <f>'Org structure'!E166</f>
        <v>0</v>
      </c>
      <c r="B171" s="964"/>
      <c r="C171" s="763"/>
      <c r="D171" s="762"/>
      <c r="E171" s="762"/>
      <c r="F171" s="762"/>
      <c r="G171" s="762"/>
      <c r="H171" s="762"/>
      <c r="I171" s="762"/>
      <c r="J171" s="75">
        <f t="shared" si="16"/>
        <v>0</v>
      </c>
      <c r="K171" s="75">
        <f t="shared" si="17"/>
        <v>0</v>
      </c>
      <c r="L171" s="762"/>
      <c r="M171" s="764"/>
    </row>
    <row r="172" spans="1:13" ht="13.5">
      <c r="A172" s="765" t="s">
        <v>645</v>
      </c>
      <c r="B172" s="962">
        <v>2</v>
      </c>
      <c r="C172" s="767">
        <f>C7+C18+C29+C40+C51+C62+C73+C84+C95+C106+C117+C128+C139+C150+C161</f>
        <v>851061462</v>
      </c>
      <c r="D172" s="766">
        <f t="shared" ref="D172:I172" si="21">D7+D18+D29+D40+D51+D62+D73+D84+D95+D106+D117+D128+D139+D150+D161</f>
        <v>0</v>
      </c>
      <c r="E172" s="766">
        <f t="shared" si="21"/>
        <v>0</v>
      </c>
      <c r="F172" s="766">
        <f t="shared" si="21"/>
        <v>0</v>
      </c>
      <c r="G172" s="766">
        <f t="shared" si="21"/>
        <v>0</v>
      </c>
      <c r="H172" s="766">
        <f t="shared" si="21"/>
        <v>20350000</v>
      </c>
      <c r="I172" s="766">
        <f t="shared" si="21"/>
        <v>38747614</v>
      </c>
      <c r="J172" s="75">
        <f>SUM(E172:I172)</f>
        <v>59097614</v>
      </c>
      <c r="K172" s="75">
        <f>IF(D172=0,C172+J172,D172+J172)</f>
        <v>910159076</v>
      </c>
      <c r="L172" s="766">
        <f>L7+L18+L29+L40+L51+L62+L73+L84+L95+L106+L117+L128+L139+L150+L161</f>
        <v>920189686</v>
      </c>
      <c r="M172" s="789">
        <f>M7+M18+M29+M40+M51+M62+M73+M84+M95+M106+M117+M128+M139+M150+M161</f>
        <v>1009178004</v>
      </c>
    </row>
    <row r="173" spans="1:13" ht="5.25" customHeight="1">
      <c r="A173" s="768"/>
      <c r="B173" s="966"/>
      <c r="C173" s="770"/>
      <c r="D173" s="769"/>
      <c r="E173" s="769"/>
      <c r="F173" s="769"/>
      <c r="G173" s="769"/>
      <c r="H173" s="769"/>
      <c r="I173" s="769"/>
      <c r="J173" s="769"/>
      <c r="K173" s="769"/>
      <c r="L173" s="769"/>
      <c r="M173" s="790"/>
    </row>
    <row r="174" spans="1:13" ht="13.5">
      <c r="A174" s="771" t="s">
        <v>646</v>
      </c>
      <c r="B174" s="967">
        <v>1</v>
      </c>
      <c r="C174" s="773"/>
      <c r="D174" s="772"/>
      <c r="E174" s="772"/>
      <c r="F174" s="772"/>
      <c r="G174" s="772"/>
      <c r="H174" s="772"/>
      <c r="I174" s="772"/>
      <c r="J174" s="772"/>
      <c r="K174" s="772"/>
      <c r="L174" s="772"/>
      <c r="M174" s="791"/>
    </row>
    <row r="175" spans="1:13" ht="13.5">
      <c r="A175" s="774" t="str">
        <f>A7</f>
        <v>Vote 1 - Municipal Manager</v>
      </c>
      <c r="B175" s="968"/>
      <c r="C175" s="776">
        <f t="shared" ref="C175:I175" si="22">SUM(C176:C185)</f>
        <v>11277949</v>
      </c>
      <c r="D175" s="775">
        <f t="shared" si="22"/>
        <v>0</v>
      </c>
      <c r="E175" s="775">
        <f t="shared" si="22"/>
        <v>0</v>
      </c>
      <c r="F175" s="775">
        <f t="shared" si="22"/>
        <v>0</v>
      </c>
      <c r="G175" s="775">
        <f t="shared" si="22"/>
        <v>0</v>
      </c>
      <c r="H175" s="775">
        <f t="shared" si="22"/>
        <v>0</v>
      </c>
      <c r="I175" s="775">
        <f t="shared" si="22"/>
        <v>-29033</v>
      </c>
      <c r="J175" s="75">
        <f>SUM(E175:I175)</f>
        <v>-29033</v>
      </c>
      <c r="K175" s="75">
        <f>IF(D175=0,C175+J175,D175+J175)</f>
        <v>11248916</v>
      </c>
      <c r="L175" s="775">
        <f>SUM(L176:L185)</f>
        <v>12039011</v>
      </c>
      <c r="M175" s="792">
        <f>SUM(M176:M185)</f>
        <v>12502380</v>
      </c>
    </row>
    <row r="176" spans="1:13" ht="13.5">
      <c r="A176" s="777" t="str">
        <f t="shared" ref="A176:A185" si="23">A8</f>
        <v>1.1 - Administration Municipal Manager</v>
      </c>
      <c r="B176" s="964"/>
      <c r="C176" s="400">
        <v>3707447</v>
      </c>
      <c r="D176" s="109"/>
      <c r="E176" s="109"/>
      <c r="F176" s="109"/>
      <c r="G176" s="109"/>
      <c r="H176" s="109"/>
      <c r="I176" s="109">
        <v>-8911</v>
      </c>
      <c r="J176" s="75">
        <f t="shared" ref="J176:J239" si="24">SUM(E176:I176)</f>
        <v>-8911</v>
      </c>
      <c r="K176" s="75">
        <f t="shared" ref="K176:K239" si="25">IF(D176=0,C176+J176,D176+J176)</f>
        <v>3698536</v>
      </c>
      <c r="L176" s="109">
        <v>4011725</v>
      </c>
      <c r="M176" s="109">
        <v>4163418</v>
      </c>
    </row>
    <row r="177" spans="1:13" ht="13.5">
      <c r="A177" s="777" t="str">
        <f t="shared" si="23"/>
        <v>1.2 - Internal Audit</v>
      </c>
      <c r="B177" s="964"/>
      <c r="C177" s="400">
        <v>3488455</v>
      </c>
      <c r="D177" s="109"/>
      <c r="E177" s="109"/>
      <c r="F177" s="109"/>
      <c r="G177" s="109"/>
      <c r="H177" s="109"/>
      <c r="I177" s="109">
        <v>-4648</v>
      </c>
      <c r="J177" s="75">
        <f t="shared" si="24"/>
        <v>-4648</v>
      </c>
      <c r="K177" s="75">
        <f t="shared" si="25"/>
        <v>3483807</v>
      </c>
      <c r="L177" s="109">
        <v>3708434</v>
      </c>
      <c r="M177" s="109">
        <v>3838699</v>
      </c>
    </row>
    <row r="178" spans="1:13" ht="13.5">
      <c r="A178" s="777" t="str">
        <f t="shared" si="23"/>
        <v>1.4 - Strategic Support</v>
      </c>
      <c r="B178" s="964"/>
      <c r="C178" s="400">
        <v>1597297</v>
      </c>
      <c r="D178" s="109"/>
      <c r="E178" s="109"/>
      <c r="F178" s="109"/>
      <c r="G178" s="109"/>
      <c r="H178" s="109"/>
      <c r="I178" s="109">
        <v>-5158</v>
      </c>
      <c r="J178" s="75">
        <f t="shared" si="24"/>
        <v>-5158</v>
      </c>
      <c r="K178" s="75">
        <f t="shared" si="25"/>
        <v>1592139</v>
      </c>
      <c r="L178" s="109">
        <v>1712349</v>
      </c>
      <c r="M178" s="109">
        <v>1766041</v>
      </c>
    </row>
    <row r="179" spans="1:13" ht="13.5">
      <c r="A179" s="777" t="str">
        <f t="shared" si="23"/>
        <v>1.5 - Risk Management</v>
      </c>
      <c r="B179" s="964"/>
      <c r="C179" s="400">
        <v>119858</v>
      </c>
      <c r="D179" s="109"/>
      <c r="E179" s="109"/>
      <c r="F179" s="109"/>
      <c r="G179" s="109"/>
      <c r="H179" s="109"/>
      <c r="I179" s="109">
        <v>-5158</v>
      </c>
      <c r="J179" s="75">
        <f t="shared" si="24"/>
        <v>-5158</v>
      </c>
      <c r="K179" s="75">
        <f t="shared" si="25"/>
        <v>114700</v>
      </c>
      <c r="L179" s="109">
        <v>125731</v>
      </c>
      <c r="M179" s="109">
        <v>131892</v>
      </c>
    </row>
    <row r="180" spans="1:13" ht="13.5">
      <c r="A180" s="777" t="str">
        <f t="shared" si="23"/>
        <v>1.3 - Disaster Management</v>
      </c>
      <c r="B180" s="964"/>
      <c r="C180" s="400">
        <v>2364892</v>
      </c>
      <c r="D180" s="109"/>
      <c r="E180" s="109"/>
      <c r="F180" s="109"/>
      <c r="G180" s="109"/>
      <c r="H180" s="109"/>
      <c r="I180" s="109">
        <v>-5158</v>
      </c>
      <c r="J180" s="75">
        <f t="shared" si="24"/>
        <v>-5158</v>
      </c>
      <c r="K180" s="75">
        <f t="shared" si="25"/>
        <v>2359734</v>
      </c>
      <c r="L180" s="109">
        <v>2480772</v>
      </c>
      <c r="M180" s="109">
        <v>2602330</v>
      </c>
    </row>
    <row r="181" spans="1:13" ht="13.5">
      <c r="A181" s="777">
        <f t="shared" si="23"/>
        <v>0</v>
      </c>
      <c r="B181" s="964"/>
      <c r="C181" s="400"/>
      <c r="D181" s="109"/>
      <c r="E181" s="109"/>
      <c r="F181" s="109"/>
      <c r="G181" s="109"/>
      <c r="H181" s="109"/>
      <c r="I181" s="109"/>
      <c r="J181" s="75">
        <f t="shared" si="24"/>
        <v>0</v>
      </c>
      <c r="K181" s="75">
        <f t="shared" si="25"/>
        <v>0</v>
      </c>
      <c r="L181" s="109"/>
      <c r="M181" s="109"/>
    </row>
    <row r="182" spans="1:13" ht="13.5">
      <c r="A182" s="777">
        <f t="shared" si="23"/>
        <v>0</v>
      </c>
      <c r="B182" s="964"/>
      <c r="C182" s="400"/>
      <c r="D182" s="109"/>
      <c r="E182" s="109"/>
      <c r="F182" s="109"/>
      <c r="G182" s="109"/>
      <c r="H182" s="109"/>
      <c r="I182" s="109"/>
      <c r="J182" s="75">
        <f t="shared" si="24"/>
        <v>0</v>
      </c>
      <c r="K182" s="75">
        <f t="shared" si="25"/>
        <v>0</v>
      </c>
      <c r="L182" s="109"/>
      <c r="M182" s="110"/>
    </row>
    <row r="183" spans="1:13" ht="13.5">
      <c r="A183" s="777">
        <f t="shared" si="23"/>
        <v>0</v>
      </c>
      <c r="B183" s="964"/>
      <c r="C183" s="400"/>
      <c r="D183" s="109"/>
      <c r="E183" s="109"/>
      <c r="F183" s="109"/>
      <c r="G183" s="109"/>
      <c r="H183" s="109"/>
      <c r="I183" s="109"/>
      <c r="J183" s="75">
        <f t="shared" si="24"/>
        <v>0</v>
      </c>
      <c r="K183" s="75">
        <f t="shared" si="25"/>
        <v>0</v>
      </c>
      <c r="L183" s="109"/>
      <c r="M183" s="110"/>
    </row>
    <row r="184" spans="1:13" ht="13.5">
      <c r="A184" s="777">
        <f t="shared" si="23"/>
        <v>0</v>
      </c>
      <c r="B184" s="964"/>
      <c r="C184" s="400"/>
      <c r="D184" s="109"/>
      <c r="E184" s="109"/>
      <c r="F184" s="109"/>
      <c r="G184" s="109"/>
      <c r="H184" s="109"/>
      <c r="I184" s="109"/>
      <c r="J184" s="75">
        <f t="shared" si="24"/>
        <v>0</v>
      </c>
      <c r="K184" s="75">
        <f t="shared" si="25"/>
        <v>0</v>
      </c>
      <c r="L184" s="109"/>
      <c r="M184" s="110"/>
    </row>
    <row r="185" spans="1:13" ht="13.5">
      <c r="A185" s="777">
        <f t="shared" si="23"/>
        <v>0</v>
      </c>
      <c r="B185" s="964"/>
      <c r="C185" s="400"/>
      <c r="D185" s="109"/>
      <c r="E185" s="109"/>
      <c r="F185" s="109"/>
      <c r="G185" s="109"/>
      <c r="H185" s="109"/>
      <c r="I185" s="109"/>
      <c r="J185" s="75">
        <f t="shared" si="24"/>
        <v>0</v>
      </c>
      <c r="K185" s="75">
        <f t="shared" si="25"/>
        <v>0</v>
      </c>
      <c r="L185" s="109"/>
      <c r="M185" s="110"/>
    </row>
    <row r="186" spans="1:13" ht="13.5">
      <c r="A186" s="774" t="str">
        <f>A18</f>
        <v>Vote 2 - Planning &amp; Economic Development</v>
      </c>
      <c r="B186" s="963"/>
      <c r="C186" s="761">
        <f t="shared" ref="C186:I186" si="26">SUM(C187:C196)</f>
        <v>18232758</v>
      </c>
      <c r="D186" s="760">
        <f t="shared" si="26"/>
        <v>0</v>
      </c>
      <c r="E186" s="760">
        <f t="shared" si="26"/>
        <v>0</v>
      </c>
      <c r="F186" s="760">
        <f t="shared" si="26"/>
        <v>0</v>
      </c>
      <c r="G186" s="760">
        <f t="shared" si="26"/>
        <v>0</v>
      </c>
      <c r="H186" s="760">
        <f t="shared" si="26"/>
        <v>0</v>
      </c>
      <c r="I186" s="760">
        <f t="shared" si="26"/>
        <v>5204495</v>
      </c>
      <c r="J186" s="75">
        <f t="shared" si="24"/>
        <v>5204495</v>
      </c>
      <c r="K186" s="75">
        <f t="shared" si="25"/>
        <v>23437253</v>
      </c>
      <c r="L186" s="760">
        <f>SUM(L187:L196)</f>
        <v>26214230</v>
      </c>
      <c r="M186" s="788">
        <f>SUM(M187:M196)</f>
        <v>28291939</v>
      </c>
    </row>
    <row r="187" spans="1:13" ht="13.5">
      <c r="A187" s="777" t="str">
        <f t="shared" ref="A187:A218" si="27">A19</f>
        <v>2.1 - Administration Strategy &amp; Development</v>
      </c>
      <c r="B187" s="964"/>
      <c r="C187" s="400">
        <v>1784811</v>
      </c>
      <c r="D187" s="109"/>
      <c r="E187" s="109"/>
      <c r="F187" s="109"/>
      <c r="G187" s="109"/>
      <c r="H187" s="109"/>
      <c r="I187" s="109">
        <v>-10031</v>
      </c>
      <c r="J187" s="75">
        <f t="shared" si="24"/>
        <v>-10031</v>
      </c>
      <c r="K187" s="75">
        <f t="shared" si="25"/>
        <v>1774780</v>
      </c>
      <c r="L187" s="109">
        <v>2485334</v>
      </c>
      <c r="M187" s="109">
        <v>3136362</v>
      </c>
    </row>
    <row r="188" spans="1:13" ht="13.5">
      <c r="A188" s="777" t="str">
        <f t="shared" si="27"/>
        <v>2.2 - Local Economic Development</v>
      </c>
      <c r="B188" s="964"/>
      <c r="C188" s="400">
        <v>7615326</v>
      </c>
      <c r="D188" s="109"/>
      <c r="E188" s="109"/>
      <c r="F188" s="109"/>
      <c r="G188" s="109"/>
      <c r="H188" s="109"/>
      <c r="I188" s="109">
        <f>-5158+5500000</f>
        <v>5494842</v>
      </c>
      <c r="J188" s="75">
        <f t="shared" si="24"/>
        <v>5494842</v>
      </c>
      <c r="K188" s="75">
        <f t="shared" si="25"/>
        <v>13110168</v>
      </c>
      <c r="L188" s="109">
        <f>7988477+6500000-25000</f>
        <v>14463477</v>
      </c>
      <c r="M188" s="109">
        <f>8463652+7000000-27500</f>
        <v>15436152</v>
      </c>
    </row>
    <row r="189" spans="1:13" ht="13.5">
      <c r="A189" s="777" t="str">
        <f t="shared" si="27"/>
        <v>2.3 - Town &amp; Regional Planning</v>
      </c>
      <c r="B189" s="964"/>
      <c r="C189" s="400">
        <v>4200110</v>
      </c>
      <c r="D189" s="109"/>
      <c r="E189" s="109"/>
      <c r="F189" s="109"/>
      <c r="G189" s="109"/>
      <c r="H189" s="109"/>
      <c r="I189" s="109">
        <v>-5158</v>
      </c>
      <c r="J189" s="75">
        <f t="shared" si="24"/>
        <v>-5158</v>
      </c>
      <c r="K189" s="75">
        <f t="shared" si="25"/>
        <v>4194952</v>
      </c>
      <c r="L189" s="109">
        <v>4405915</v>
      </c>
      <c r="M189" s="109">
        <v>4621805</v>
      </c>
    </row>
    <row r="190" spans="1:13" ht="13.5">
      <c r="A190" s="777" t="str">
        <f t="shared" si="27"/>
        <v>2.4 - Housing Administration</v>
      </c>
      <c r="B190" s="964"/>
      <c r="C190" s="400">
        <v>4548221</v>
      </c>
      <c r="D190" s="109"/>
      <c r="E190" s="109"/>
      <c r="F190" s="109"/>
      <c r="G190" s="109"/>
      <c r="H190" s="109"/>
      <c r="I190" s="109">
        <f>-270000-5158</f>
        <v>-275158</v>
      </c>
      <c r="J190" s="75">
        <f t="shared" si="24"/>
        <v>-275158</v>
      </c>
      <c r="K190" s="75">
        <f t="shared" si="25"/>
        <v>4273063</v>
      </c>
      <c r="L190" s="109">
        <v>4771084</v>
      </c>
      <c r="M190" s="109">
        <v>5004867</v>
      </c>
    </row>
    <row r="191" spans="1:13" ht="13.5">
      <c r="A191" s="777" t="str">
        <f t="shared" si="27"/>
        <v>2.5 - SATELITE OFFICE: NKOWANKOWA</v>
      </c>
      <c r="B191" s="964"/>
      <c r="C191" s="400">
        <v>31376</v>
      </c>
      <c r="D191" s="109"/>
      <c r="E191" s="109"/>
      <c r="F191" s="109"/>
      <c r="G191" s="109"/>
      <c r="H191" s="109"/>
      <c r="I191" s="109"/>
      <c r="J191" s="75">
        <f t="shared" si="24"/>
        <v>0</v>
      </c>
      <c r="K191" s="75">
        <f t="shared" si="25"/>
        <v>31376</v>
      </c>
      <c r="L191" s="109">
        <v>32913</v>
      </c>
      <c r="M191" s="109">
        <v>34526</v>
      </c>
    </row>
    <row r="192" spans="1:13" ht="13.5">
      <c r="A192" s="777" t="str">
        <f t="shared" si="27"/>
        <v>2.6 - SATELITE OFFICE: LENYENYE</v>
      </c>
      <c r="B192" s="964"/>
      <c r="C192" s="400">
        <v>35427</v>
      </c>
      <c r="D192" s="109"/>
      <c r="E192" s="109"/>
      <c r="F192" s="109"/>
      <c r="G192" s="109"/>
      <c r="H192" s="109"/>
      <c r="I192" s="109"/>
      <c r="J192" s="75">
        <f t="shared" si="24"/>
        <v>0</v>
      </c>
      <c r="K192" s="75">
        <f t="shared" si="25"/>
        <v>35427</v>
      </c>
      <c r="L192" s="109">
        <v>37163</v>
      </c>
      <c r="M192" s="109">
        <v>38984</v>
      </c>
    </row>
    <row r="193" spans="1:13" ht="13.5">
      <c r="A193" s="777" t="str">
        <f t="shared" si="27"/>
        <v>2.7 - SATELITE OFFICE: LETSITELE</v>
      </c>
      <c r="B193" s="964"/>
      <c r="C193" s="400">
        <v>17487</v>
      </c>
      <c r="D193" s="109"/>
      <c r="E193" s="109"/>
      <c r="F193" s="109"/>
      <c r="G193" s="109"/>
      <c r="H193" s="109"/>
      <c r="I193" s="109"/>
      <c r="J193" s="75">
        <f t="shared" si="24"/>
        <v>0</v>
      </c>
      <c r="K193" s="75">
        <f t="shared" si="25"/>
        <v>17487</v>
      </c>
      <c r="L193" s="109">
        <v>18344</v>
      </c>
      <c r="M193" s="109">
        <v>19243</v>
      </c>
    </row>
    <row r="194" spans="1:13" ht="13.5">
      <c r="A194" s="777">
        <f t="shared" si="27"/>
        <v>0</v>
      </c>
      <c r="B194" s="964"/>
      <c r="C194" s="400"/>
      <c r="D194" s="109"/>
      <c r="E194" s="109"/>
      <c r="F194" s="109"/>
      <c r="G194" s="109"/>
      <c r="H194" s="109"/>
      <c r="I194" s="109"/>
      <c r="J194" s="75">
        <f t="shared" si="24"/>
        <v>0</v>
      </c>
      <c r="K194" s="75">
        <f t="shared" si="25"/>
        <v>0</v>
      </c>
      <c r="L194" s="109"/>
      <c r="M194" s="110"/>
    </row>
    <row r="195" spans="1:13" ht="13.5">
      <c r="A195" s="777">
        <f t="shared" si="27"/>
        <v>0</v>
      </c>
      <c r="B195" s="964"/>
      <c r="C195" s="400"/>
      <c r="D195" s="109"/>
      <c r="E195" s="109"/>
      <c r="F195" s="109"/>
      <c r="G195" s="109"/>
      <c r="H195" s="109"/>
      <c r="I195" s="109"/>
      <c r="J195" s="75">
        <f t="shared" si="24"/>
        <v>0</v>
      </c>
      <c r="K195" s="75">
        <f t="shared" si="25"/>
        <v>0</v>
      </c>
      <c r="L195" s="109"/>
      <c r="M195" s="110"/>
    </row>
    <row r="196" spans="1:13" ht="13.5">
      <c r="A196" s="777">
        <f t="shared" si="27"/>
        <v>0</v>
      </c>
      <c r="B196" s="964"/>
      <c r="C196" s="400"/>
      <c r="D196" s="109"/>
      <c r="E196" s="109"/>
      <c r="F196" s="109"/>
      <c r="G196" s="109"/>
      <c r="H196" s="109"/>
      <c r="I196" s="109"/>
      <c r="J196" s="75">
        <f t="shared" si="24"/>
        <v>0</v>
      </c>
      <c r="K196" s="75">
        <f t="shared" si="25"/>
        <v>0</v>
      </c>
      <c r="L196" s="109"/>
      <c r="M196" s="110"/>
    </row>
    <row r="197" spans="1:13" ht="13.5">
      <c r="A197" s="774" t="str">
        <f t="shared" si="27"/>
        <v>Vote 3 - Financial Services</v>
      </c>
      <c r="B197" s="963"/>
      <c r="C197" s="761">
        <f t="shared" ref="C197:I197" si="28">SUM(C198:C207)</f>
        <v>60100585</v>
      </c>
      <c r="D197" s="760">
        <f t="shared" si="28"/>
        <v>0</v>
      </c>
      <c r="E197" s="760">
        <f t="shared" si="28"/>
        <v>0</v>
      </c>
      <c r="F197" s="760">
        <f t="shared" si="28"/>
        <v>0</v>
      </c>
      <c r="G197" s="760">
        <f t="shared" si="28"/>
        <v>0</v>
      </c>
      <c r="H197" s="760">
        <f t="shared" si="28"/>
        <v>0</v>
      </c>
      <c r="I197" s="760">
        <f t="shared" si="28"/>
        <v>-11886</v>
      </c>
      <c r="J197" s="75">
        <f t="shared" si="24"/>
        <v>-11886</v>
      </c>
      <c r="K197" s="75">
        <f t="shared" si="25"/>
        <v>60088699</v>
      </c>
      <c r="L197" s="760">
        <f>SUM(L198:L207)</f>
        <v>63142567</v>
      </c>
      <c r="M197" s="788">
        <f>SUM(M198:M207)</f>
        <v>66150504</v>
      </c>
    </row>
    <row r="198" spans="1:13" ht="13.5">
      <c r="A198" s="777" t="str">
        <f t="shared" si="27"/>
        <v>3.1 - Administration Finance</v>
      </c>
      <c r="B198" s="964"/>
      <c r="C198" s="400">
        <v>13945529</v>
      </c>
      <c r="D198" s="109"/>
      <c r="E198" s="109"/>
      <c r="F198" s="109"/>
      <c r="G198" s="109"/>
      <c r="H198" s="109"/>
      <c r="I198" s="109">
        <f>-7931+26000</f>
        <v>18069</v>
      </c>
      <c r="J198" s="75">
        <f t="shared" si="24"/>
        <v>18069</v>
      </c>
      <c r="K198" s="75">
        <f t="shared" si="25"/>
        <v>13963598</v>
      </c>
      <c r="L198" s="109">
        <v>14751863</v>
      </c>
      <c r="M198" s="109">
        <v>15417057</v>
      </c>
    </row>
    <row r="199" spans="1:13" ht="13.5">
      <c r="A199" s="777" t="str">
        <f t="shared" si="27"/>
        <v>3.2 - Budget office</v>
      </c>
      <c r="B199" s="964"/>
      <c r="C199" s="400">
        <v>8871254</v>
      </c>
      <c r="D199" s="109"/>
      <c r="E199" s="109"/>
      <c r="F199" s="109"/>
      <c r="G199" s="109"/>
      <c r="H199" s="109"/>
      <c r="I199" s="109">
        <v>-5158</v>
      </c>
      <c r="J199" s="75">
        <f t="shared" si="24"/>
        <v>-5158</v>
      </c>
      <c r="K199" s="75">
        <f t="shared" si="25"/>
        <v>8866096</v>
      </c>
      <c r="L199" s="109">
        <v>9279995</v>
      </c>
      <c r="M199" s="109">
        <v>9706315</v>
      </c>
    </row>
    <row r="200" spans="1:13" ht="13.5">
      <c r="A200" s="777" t="str">
        <f t="shared" si="27"/>
        <v>3.3 - Revenue</v>
      </c>
      <c r="B200" s="964"/>
      <c r="C200" s="400">
        <v>25428256</v>
      </c>
      <c r="D200" s="109"/>
      <c r="E200" s="109"/>
      <c r="F200" s="109"/>
      <c r="G200" s="109"/>
      <c r="H200" s="109"/>
      <c r="I200" s="109">
        <v>-5158</v>
      </c>
      <c r="J200" s="75">
        <f t="shared" si="24"/>
        <v>-5158</v>
      </c>
      <c r="K200" s="75">
        <f t="shared" si="25"/>
        <v>25423098</v>
      </c>
      <c r="L200" s="109">
        <v>26674241</v>
      </c>
      <c r="M200" s="109">
        <v>27981278</v>
      </c>
    </row>
    <row r="201" spans="1:13" ht="13.5">
      <c r="A201" s="777" t="str">
        <f t="shared" si="27"/>
        <v>3.4 - Expenditure</v>
      </c>
      <c r="B201" s="964"/>
      <c r="C201" s="400">
        <v>5618684</v>
      </c>
      <c r="D201" s="109"/>
      <c r="E201" s="109"/>
      <c r="F201" s="109"/>
      <c r="G201" s="109"/>
      <c r="H201" s="109"/>
      <c r="I201" s="109">
        <v>-4937</v>
      </c>
      <c r="J201" s="75">
        <f t="shared" si="24"/>
        <v>-4937</v>
      </c>
      <c r="K201" s="75">
        <f t="shared" si="25"/>
        <v>5613747</v>
      </c>
      <c r="L201" s="109">
        <v>5894000</v>
      </c>
      <c r="M201" s="109">
        <v>6182805</v>
      </c>
    </row>
    <row r="202" spans="1:13" ht="13.5">
      <c r="A202" s="777" t="str">
        <f t="shared" si="27"/>
        <v>3.5 - Inventory</v>
      </c>
      <c r="B202" s="964"/>
      <c r="C202" s="400">
        <v>2209369</v>
      </c>
      <c r="D202" s="109"/>
      <c r="E202" s="109"/>
      <c r="F202" s="109"/>
      <c r="G202" s="109"/>
      <c r="H202" s="109"/>
      <c r="I202" s="109"/>
      <c r="J202" s="75">
        <f t="shared" si="24"/>
        <v>0</v>
      </c>
      <c r="K202" s="75">
        <f t="shared" si="25"/>
        <v>2209369</v>
      </c>
      <c r="L202" s="109">
        <v>2317628</v>
      </c>
      <c r="M202" s="109">
        <v>2431192</v>
      </c>
    </row>
    <row r="203" spans="1:13" ht="13.5">
      <c r="A203" s="777" t="str">
        <f t="shared" si="27"/>
        <v>3.6 - Supply Chain Management</v>
      </c>
      <c r="B203" s="964"/>
      <c r="C203" s="400">
        <v>4027493</v>
      </c>
      <c r="D203" s="109"/>
      <c r="E203" s="109"/>
      <c r="F203" s="109"/>
      <c r="G203" s="109"/>
      <c r="H203" s="109"/>
      <c r="I203" s="109">
        <v>-14702</v>
      </c>
      <c r="J203" s="75">
        <f t="shared" si="24"/>
        <v>-14702</v>
      </c>
      <c r="K203" s="75">
        <f t="shared" si="25"/>
        <v>4012791</v>
      </c>
      <c r="L203" s="109">
        <v>4224840</v>
      </c>
      <c r="M203" s="109">
        <v>4431857</v>
      </c>
    </row>
    <row r="204" spans="1:13" ht="13.5">
      <c r="A204" s="777">
        <f t="shared" si="27"/>
        <v>0</v>
      </c>
      <c r="B204" s="964"/>
      <c r="C204" s="400"/>
      <c r="D204" s="109"/>
      <c r="E204" s="109"/>
      <c r="F204" s="109"/>
      <c r="G204" s="109"/>
      <c r="H204" s="109"/>
      <c r="I204" s="109"/>
      <c r="J204" s="75">
        <f t="shared" si="24"/>
        <v>0</v>
      </c>
      <c r="K204" s="75">
        <f t="shared" si="25"/>
        <v>0</v>
      </c>
      <c r="L204" s="109"/>
      <c r="M204" s="109"/>
    </row>
    <row r="205" spans="1:13" ht="13.5">
      <c r="A205" s="777">
        <f t="shared" si="27"/>
        <v>0</v>
      </c>
      <c r="B205" s="964"/>
      <c r="C205" s="400"/>
      <c r="D205" s="109"/>
      <c r="E205" s="109"/>
      <c r="F205" s="109"/>
      <c r="G205" s="109"/>
      <c r="H205" s="109"/>
      <c r="I205" s="109"/>
      <c r="J205" s="75">
        <f t="shared" si="24"/>
        <v>0</v>
      </c>
      <c r="K205" s="75">
        <f t="shared" si="25"/>
        <v>0</v>
      </c>
      <c r="L205" s="109"/>
      <c r="M205" s="109"/>
    </row>
    <row r="206" spans="1:13" ht="13.5">
      <c r="A206" s="777">
        <f t="shared" si="27"/>
        <v>0</v>
      </c>
      <c r="B206" s="964"/>
      <c r="C206" s="400"/>
      <c r="D206" s="109"/>
      <c r="E206" s="109"/>
      <c r="F206" s="109"/>
      <c r="G206" s="109"/>
      <c r="H206" s="109"/>
      <c r="I206" s="109"/>
      <c r="J206" s="75">
        <f t="shared" si="24"/>
        <v>0</v>
      </c>
      <c r="K206" s="75">
        <f t="shared" si="25"/>
        <v>0</v>
      </c>
      <c r="L206" s="109"/>
      <c r="M206" s="110"/>
    </row>
    <row r="207" spans="1:13" ht="13.5">
      <c r="A207" s="777">
        <f t="shared" si="27"/>
        <v>0</v>
      </c>
      <c r="B207" s="964"/>
      <c r="C207" s="400"/>
      <c r="D207" s="109"/>
      <c r="E207" s="109"/>
      <c r="F207" s="109"/>
      <c r="G207" s="109"/>
      <c r="H207" s="109"/>
      <c r="I207" s="109"/>
      <c r="J207" s="75">
        <f t="shared" si="24"/>
        <v>0</v>
      </c>
      <c r="K207" s="75">
        <f t="shared" si="25"/>
        <v>0</v>
      </c>
      <c r="L207" s="109"/>
      <c r="M207" s="110"/>
    </row>
    <row r="208" spans="1:13" ht="13.5">
      <c r="A208" s="774" t="str">
        <f t="shared" si="27"/>
        <v>Vote 4 - Corporate Services</v>
      </c>
      <c r="B208" s="963"/>
      <c r="C208" s="761">
        <f t="shared" ref="C208:I208" si="29">SUM(C209:C218)</f>
        <v>71520720</v>
      </c>
      <c r="D208" s="760">
        <f t="shared" si="29"/>
        <v>0</v>
      </c>
      <c r="E208" s="760">
        <f t="shared" si="29"/>
        <v>0</v>
      </c>
      <c r="F208" s="760">
        <f t="shared" si="29"/>
        <v>0</v>
      </c>
      <c r="G208" s="760">
        <f t="shared" si="29"/>
        <v>0</v>
      </c>
      <c r="H208" s="760">
        <f t="shared" si="29"/>
        <v>0</v>
      </c>
      <c r="I208" s="760">
        <f t="shared" si="29"/>
        <v>8082561</v>
      </c>
      <c r="J208" s="75">
        <f t="shared" si="24"/>
        <v>8082561</v>
      </c>
      <c r="K208" s="75">
        <f t="shared" si="25"/>
        <v>79603281</v>
      </c>
      <c r="L208" s="760">
        <f>SUM(L209:L218)</f>
        <v>75136676</v>
      </c>
      <c r="M208" s="788">
        <f>SUM(M209:M218)</f>
        <v>78644867</v>
      </c>
    </row>
    <row r="209" spans="1:13" ht="13.5">
      <c r="A209" s="777" t="str">
        <f t="shared" si="27"/>
        <v>4.1 - Communications</v>
      </c>
      <c r="B209" s="964"/>
      <c r="C209" s="400">
        <v>3852708</v>
      </c>
      <c r="D209" s="109"/>
      <c r="E209" s="109"/>
      <c r="F209" s="109"/>
      <c r="G209" s="109"/>
      <c r="H209" s="109"/>
      <c r="I209" s="109">
        <v>-962</v>
      </c>
      <c r="J209" s="75">
        <f t="shared" si="24"/>
        <v>-962</v>
      </c>
      <c r="K209" s="75">
        <f t="shared" si="25"/>
        <v>3851746</v>
      </c>
      <c r="L209" s="109">
        <v>4041491</v>
      </c>
      <c r="M209" s="109">
        <v>4239524</v>
      </c>
    </row>
    <row r="210" spans="1:13" ht="13.5">
      <c r="A210" s="777" t="str">
        <f t="shared" si="27"/>
        <v>4.2 - Public Participation &amp; Project Support</v>
      </c>
      <c r="B210" s="964"/>
      <c r="C210" s="400">
        <v>9380160</v>
      </c>
      <c r="D210" s="109"/>
      <c r="E210" s="109"/>
      <c r="F210" s="109"/>
      <c r="G210" s="109"/>
      <c r="H210" s="109"/>
      <c r="I210" s="109">
        <v>-5158</v>
      </c>
      <c r="J210" s="75">
        <f t="shared" si="24"/>
        <v>-5158</v>
      </c>
      <c r="K210" s="75">
        <f t="shared" si="25"/>
        <v>9375002</v>
      </c>
      <c r="L210" s="109">
        <v>9839788</v>
      </c>
      <c r="M210" s="109">
        <v>10321937</v>
      </c>
    </row>
    <row r="211" spans="1:13" ht="13.5">
      <c r="A211" s="777" t="str">
        <f t="shared" si="27"/>
        <v>4.10 - Information Technolgy</v>
      </c>
      <c r="B211" s="964"/>
      <c r="C211" s="400">
        <v>6946419</v>
      </c>
      <c r="D211" s="109"/>
      <c r="E211" s="109"/>
      <c r="F211" s="109"/>
      <c r="G211" s="109"/>
      <c r="H211" s="109"/>
      <c r="I211" s="109">
        <f>200000-5158</f>
        <v>194842</v>
      </c>
      <c r="J211" s="75">
        <f t="shared" si="24"/>
        <v>194842</v>
      </c>
      <c r="K211" s="75">
        <f t="shared" si="25"/>
        <v>7141261</v>
      </c>
      <c r="L211" s="109">
        <v>7286794</v>
      </c>
      <c r="M211" s="109">
        <v>7643846</v>
      </c>
    </row>
    <row r="212" spans="1:13" ht="13.5">
      <c r="A212" s="777" t="str">
        <f t="shared" si="27"/>
        <v>4.4 - Administration HR &amp; Corporate</v>
      </c>
      <c r="B212" s="964"/>
      <c r="C212" s="400">
        <v>1910082</v>
      </c>
      <c r="D212" s="109"/>
      <c r="E212" s="109"/>
      <c r="F212" s="109"/>
      <c r="G212" s="109"/>
      <c r="H212" s="109"/>
      <c r="I212" s="109">
        <v>-3031</v>
      </c>
      <c r="J212" s="75">
        <f t="shared" si="24"/>
        <v>-3031</v>
      </c>
      <c r="K212" s="75">
        <f t="shared" si="25"/>
        <v>1907051</v>
      </c>
      <c r="L212" s="109">
        <v>2248903</v>
      </c>
      <c r="M212" s="109">
        <v>2185596</v>
      </c>
    </row>
    <row r="213" spans="1:13" ht="13.5">
      <c r="A213" s="777" t="str">
        <f t="shared" si="27"/>
        <v>4.5 - Human Resources</v>
      </c>
      <c r="B213" s="964"/>
      <c r="C213" s="400">
        <v>8208745</v>
      </c>
      <c r="D213" s="109"/>
      <c r="E213" s="109"/>
      <c r="F213" s="109"/>
      <c r="G213" s="109"/>
      <c r="H213" s="109"/>
      <c r="I213" s="109">
        <v>-4814</v>
      </c>
      <c r="J213" s="75">
        <f t="shared" si="24"/>
        <v>-4814</v>
      </c>
      <c r="K213" s="75">
        <f t="shared" si="25"/>
        <v>8203931</v>
      </c>
      <c r="L213" s="109">
        <v>8610974</v>
      </c>
      <c r="M213" s="109">
        <v>9032911</v>
      </c>
    </row>
    <row r="214" spans="1:13" ht="13.5">
      <c r="A214" s="777" t="str">
        <f t="shared" si="27"/>
        <v>4.6 - Occupational Health &amp; safety</v>
      </c>
      <c r="B214" s="964"/>
      <c r="C214" s="400">
        <v>79863</v>
      </c>
      <c r="D214" s="109"/>
      <c r="E214" s="109"/>
      <c r="F214" s="109"/>
      <c r="G214" s="109"/>
      <c r="H214" s="109"/>
      <c r="I214" s="109"/>
      <c r="J214" s="75">
        <f t="shared" si="24"/>
        <v>0</v>
      </c>
      <c r="K214" s="75">
        <f t="shared" si="25"/>
        <v>79863</v>
      </c>
      <c r="L214" s="109">
        <v>83776</v>
      </c>
      <c r="M214" s="109">
        <v>87881</v>
      </c>
    </row>
    <row r="215" spans="1:13" ht="13.5">
      <c r="A215" s="777" t="str">
        <f t="shared" si="27"/>
        <v>4.8 - Corporate Services</v>
      </c>
      <c r="B215" s="964"/>
      <c r="C215" s="400">
        <v>6459164</v>
      </c>
      <c r="D215" s="109"/>
      <c r="E215" s="109"/>
      <c r="F215" s="109"/>
      <c r="G215" s="109"/>
      <c r="H215" s="109"/>
      <c r="I215" s="109">
        <v>-5158</v>
      </c>
      <c r="J215" s="75">
        <f t="shared" si="24"/>
        <v>-5158</v>
      </c>
      <c r="K215" s="75">
        <f t="shared" si="25"/>
        <v>6454006</v>
      </c>
      <c r="L215" s="109">
        <v>6682283</v>
      </c>
      <c r="M215" s="109">
        <v>7009715</v>
      </c>
    </row>
    <row r="216" spans="1:13" ht="13.5">
      <c r="A216" s="777" t="str">
        <f t="shared" si="27"/>
        <v>4.9 - Council Expenditure</v>
      </c>
      <c r="B216" s="964"/>
      <c r="C216" s="400">
        <v>28283046</v>
      </c>
      <c r="D216" s="109"/>
      <c r="E216" s="109"/>
      <c r="F216" s="109"/>
      <c r="G216" s="109"/>
      <c r="H216" s="109"/>
      <c r="I216" s="109">
        <v>462000</v>
      </c>
      <c r="J216" s="75">
        <f t="shared" si="24"/>
        <v>462000</v>
      </c>
      <c r="K216" s="75">
        <f t="shared" si="25"/>
        <v>28745046</v>
      </c>
      <c r="L216" s="109">
        <v>29668915</v>
      </c>
      <c r="M216" s="109">
        <v>31122692</v>
      </c>
    </row>
    <row r="217" spans="1:13" ht="13.5">
      <c r="A217" s="777" t="str">
        <f t="shared" si="27"/>
        <v>4.7 - Legal Services</v>
      </c>
      <c r="B217" s="964"/>
      <c r="C217" s="400">
        <v>6400533</v>
      </c>
      <c r="D217" s="109"/>
      <c r="E217" s="109"/>
      <c r="F217" s="109"/>
      <c r="G217" s="109"/>
      <c r="H217" s="109"/>
      <c r="I217" s="109">
        <f>7445000-158</f>
        <v>7444842</v>
      </c>
      <c r="J217" s="75">
        <f t="shared" si="24"/>
        <v>7444842</v>
      </c>
      <c r="K217" s="75">
        <f t="shared" si="25"/>
        <v>13845375</v>
      </c>
      <c r="L217" s="109">
        <v>6673752</v>
      </c>
      <c r="M217" s="109">
        <v>7000765</v>
      </c>
    </row>
    <row r="218" spans="1:13" ht="13.5">
      <c r="A218" s="777">
        <f t="shared" si="27"/>
        <v>0</v>
      </c>
      <c r="B218" s="964"/>
      <c r="C218" s="400"/>
      <c r="D218" s="109"/>
      <c r="E218" s="109"/>
      <c r="F218" s="109"/>
      <c r="G218" s="109"/>
      <c r="H218" s="109"/>
      <c r="I218" s="109"/>
      <c r="J218" s="75">
        <f t="shared" si="24"/>
        <v>0</v>
      </c>
      <c r="K218" s="75">
        <f t="shared" si="25"/>
        <v>0</v>
      </c>
      <c r="L218" s="109"/>
      <c r="M218" s="110"/>
    </row>
    <row r="219" spans="1:13" ht="13.5">
      <c r="A219" s="774" t="str">
        <f>A51</f>
        <v>Vote 5 - Community Services</v>
      </c>
      <c r="B219" s="963"/>
      <c r="C219" s="761">
        <f t="shared" ref="C219:I219" si="30">SUM(C220:C229)</f>
        <v>89943919</v>
      </c>
      <c r="D219" s="760">
        <f t="shared" si="30"/>
        <v>0</v>
      </c>
      <c r="E219" s="760">
        <f t="shared" si="30"/>
        <v>0</v>
      </c>
      <c r="F219" s="760">
        <f t="shared" si="30"/>
        <v>0</v>
      </c>
      <c r="G219" s="760">
        <f t="shared" si="30"/>
        <v>0</v>
      </c>
      <c r="H219" s="760">
        <f t="shared" si="30"/>
        <v>0</v>
      </c>
      <c r="I219" s="760">
        <f t="shared" si="30"/>
        <v>-10392</v>
      </c>
      <c r="J219" s="75">
        <f t="shared" si="24"/>
        <v>-10392</v>
      </c>
      <c r="K219" s="75">
        <f t="shared" si="25"/>
        <v>89933527</v>
      </c>
      <c r="L219" s="760">
        <f>SUM(L220:L229)</f>
        <v>93544419</v>
      </c>
      <c r="M219" s="788">
        <f>SUM(M220:M229)</f>
        <v>97332188</v>
      </c>
    </row>
    <row r="220" spans="1:13" ht="13.5">
      <c r="A220" s="777" t="str">
        <f t="shared" ref="A220:A229" si="31">A52</f>
        <v>5.1 - Parks &amp; Recreation</v>
      </c>
      <c r="B220" s="964"/>
      <c r="C220" s="400">
        <v>23656933</v>
      </c>
      <c r="D220" s="109"/>
      <c r="E220" s="109"/>
      <c r="F220" s="109"/>
      <c r="G220" s="109"/>
      <c r="H220" s="109"/>
      <c r="I220" s="109">
        <v>-958</v>
      </c>
      <c r="J220" s="75">
        <f t="shared" si="24"/>
        <v>-958</v>
      </c>
      <c r="K220" s="75">
        <f t="shared" si="25"/>
        <v>23655975</v>
      </c>
      <c r="L220" s="109">
        <v>24816123</v>
      </c>
      <c r="M220" s="109">
        <v>26032113</v>
      </c>
    </row>
    <row r="221" spans="1:13" ht="13.5">
      <c r="A221" s="777" t="str">
        <f t="shared" si="31"/>
        <v>5.2 - Administration Community Services</v>
      </c>
      <c r="B221" s="964"/>
      <c r="C221" s="400">
        <v>223448</v>
      </c>
      <c r="D221" s="109"/>
      <c r="E221" s="109"/>
      <c r="F221" s="109"/>
      <c r="G221" s="109"/>
      <c r="H221" s="109"/>
      <c r="I221" s="109"/>
      <c r="J221" s="75">
        <f t="shared" si="24"/>
        <v>0</v>
      </c>
      <c r="K221" s="75">
        <f t="shared" si="25"/>
        <v>223448</v>
      </c>
      <c r="L221" s="109">
        <v>258920</v>
      </c>
      <c r="M221" s="109">
        <v>245882</v>
      </c>
    </row>
    <row r="222" spans="1:13" ht="13.5">
      <c r="A222" s="777" t="str">
        <f t="shared" si="31"/>
        <v>5.3 - Community Health Services</v>
      </c>
      <c r="B222" s="964"/>
      <c r="C222" s="400">
        <v>232237</v>
      </c>
      <c r="D222" s="109"/>
      <c r="E222" s="109"/>
      <c r="F222" s="109"/>
      <c r="G222" s="109"/>
      <c r="H222" s="109"/>
      <c r="I222" s="109">
        <v>-441</v>
      </c>
      <c r="J222" s="75">
        <f t="shared" si="24"/>
        <v>-441</v>
      </c>
      <c r="K222" s="75">
        <f t="shared" si="25"/>
        <v>231796</v>
      </c>
      <c r="L222" s="109">
        <v>243617</v>
      </c>
      <c r="M222" s="109">
        <v>255554</v>
      </c>
    </row>
    <row r="223" spans="1:13" ht="13.5">
      <c r="A223" s="777" t="str">
        <f t="shared" si="31"/>
        <v>5.4 - Enviromental Health Services</v>
      </c>
      <c r="B223" s="964"/>
      <c r="C223" s="400">
        <v>6626784</v>
      </c>
      <c r="D223" s="109"/>
      <c r="E223" s="109"/>
      <c r="F223" s="109"/>
      <c r="G223" s="109"/>
      <c r="H223" s="109"/>
      <c r="I223" s="109"/>
      <c r="J223" s="75">
        <f t="shared" si="24"/>
        <v>0</v>
      </c>
      <c r="K223" s="75">
        <f t="shared" si="25"/>
        <v>6626784</v>
      </c>
      <c r="L223" s="109">
        <v>6951496</v>
      </c>
      <c r="M223" s="109">
        <v>7292120</v>
      </c>
    </row>
    <row r="224" spans="1:13" ht="13.5">
      <c r="A224" s="777" t="str">
        <f t="shared" si="31"/>
        <v>5.5 - Library Services</v>
      </c>
      <c r="B224" s="964"/>
      <c r="C224" s="400">
        <v>5124893</v>
      </c>
      <c r="D224" s="109"/>
      <c r="E224" s="109"/>
      <c r="F224" s="109"/>
      <c r="G224" s="109"/>
      <c r="H224" s="109"/>
      <c r="I224" s="109">
        <v>-4842</v>
      </c>
      <c r="J224" s="75">
        <f t="shared" si="24"/>
        <v>-4842</v>
      </c>
      <c r="K224" s="75">
        <f t="shared" si="25"/>
        <v>5120051</v>
      </c>
      <c r="L224" s="109">
        <v>5376013</v>
      </c>
      <c r="M224" s="109">
        <v>5639437</v>
      </c>
    </row>
    <row r="225" spans="1:13" ht="13.5">
      <c r="A225" s="777" t="str">
        <f t="shared" si="31"/>
        <v>5.6 - Solid Waste</v>
      </c>
      <c r="B225" s="964"/>
      <c r="C225" s="400">
        <v>30577425</v>
      </c>
      <c r="D225" s="109"/>
      <c r="E225" s="109"/>
      <c r="F225" s="109"/>
      <c r="G225" s="109"/>
      <c r="H225" s="109"/>
      <c r="I225" s="109">
        <v>-4151</v>
      </c>
      <c r="J225" s="75">
        <f t="shared" si="24"/>
        <v>-4151</v>
      </c>
      <c r="K225" s="75">
        <f t="shared" si="25"/>
        <v>30573274</v>
      </c>
      <c r="L225" s="109">
        <v>31023740</v>
      </c>
      <c r="M225" s="109">
        <v>32005239</v>
      </c>
    </row>
    <row r="226" spans="1:13" ht="13.5">
      <c r="A226" s="777" t="str">
        <f t="shared" si="31"/>
        <v>5.7 - Street Cleansing</v>
      </c>
      <c r="B226" s="964"/>
      <c r="C226" s="400">
        <v>17331356</v>
      </c>
      <c r="D226" s="109"/>
      <c r="E226" s="109"/>
      <c r="F226" s="109"/>
      <c r="G226" s="109"/>
      <c r="H226" s="109"/>
      <c r="I226" s="109"/>
      <c r="J226" s="75">
        <f t="shared" si="24"/>
        <v>0</v>
      </c>
      <c r="K226" s="75">
        <f t="shared" si="25"/>
        <v>17331356</v>
      </c>
      <c r="L226" s="109">
        <v>18180592</v>
      </c>
      <c r="M226" s="109">
        <v>19071441</v>
      </c>
    </row>
    <row r="227" spans="1:13" ht="13.5">
      <c r="A227" s="777" t="str">
        <f t="shared" si="31"/>
        <v>5.8 - Public Toilets</v>
      </c>
      <c r="B227" s="964"/>
      <c r="C227" s="400">
        <v>6170843</v>
      </c>
      <c r="D227" s="109"/>
      <c r="E227" s="109"/>
      <c r="F227" s="109"/>
      <c r="G227" s="109"/>
      <c r="H227" s="109"/>
      <c r="I227" s="109"/>
      <c r="J227" s="75">
        <f t="shared" si="24"/>
        <v>0</v>
      </c>
      <c r="K227" s="75">
        <f t="shared" si="25"/>
        <v>6170843</v>
      </c>
      <c r="L227" s="109">
        <v>6693918</v>
      </c>
      <c r="M227" s="109">
        <v>6790402</v>
      </c>
    </row>
    <row r="228" spans="1:13" ht="13.5">
      <c r="A228" s="777">
        <f t="shared" si="31"/>
        <v>0</v>
      </c>
      <c r="B228" s="964"/>
      <c r="C228" s="400"/>
      <c r="D228" s="109"/>
      <c r="E228" s="109"/>
      <c r="F228" s="109"/>
      <c r="G228" s="109"/>
      <c r="H228" s="109"/>
      <c r="I228" s="109"/>
      <c r="J228" s="75">
        <f t="shared" si="24"/>
        <v>0</v>
      </c>
      <c r="K228" s="75">
        <f t="shared" si="25"/>
        <v>0</v>
      </c>
      <c r="L228" s="109"/>
      <c r="M228" s="110"/>
    </row>
    <row r="229" spans="1:13" ht="13.5">
      <c r="A229" s="777">
        <f t="shared" si="31"/>
        <v>0</v>
      </c>
      <c r="B229" s="964"/>
      <c r="C229" s="400"/>
      <c r="D229" s="109"/>
      <c r="E229" s="109"/>
      <c r="F229" s="109"/>
      <c r="G229" s="109"/>
      <c r="H229" s="109"/>
      <c r="I229" s="109"/>
      <c r="J229" s="75">
        <f t="shared" si="24"/>
        <v>0</v>
      </c>
      <c r="K229" s="75">
        <f t="shared" si="25"/>
        <v>0</v>
      </c>
      <c r="L229" s="109"/>
      <c r="M229" s="110"/>
    </row>
    <row r="230" spans="1:13" ht="13.5">
      <c r="A230" s="774" t="str">
        <f>A62</f>
        <v>Vote 6 - Community Services</v>
      </c>
      <c r="B230" s="963"/>
      <c r="C230" s="761">
        <f t="shared" ref="C230:I230" si="32">SUM(C231:C240)</f>
        <v>61067475</v>
      </c>
      <c r="D230" s="760">
        <f t="shared" si="32"/>
        <v>0</v>
      </c>
      <c r="E230" s="760">
        <f t="shared" si="32"/>
        <v>0</v>
      </c>
      <c r="F230" s="760">
        <f t="shared" si="32"/>
        <v>0</v>
      </c>
      <c r="G230" s="760">
        <f t="shared" si="32"/>
        <v>0</v>
      </c>
      <c r="H230" s="760">
        <f t="shared" si="32"/>
        <v>0</v>
      </c>
      <c r="I230" s="760">
        <f t="shared" si="32"/>
        <v>-12683</v>
      </c>
      <c r="J230" s="75">
        <f t="shared" si="24"/>
        <v>-12683</v>
      </c>
      <c r="K230" s="75">
        <f t="shared" si="25"/>
        <v>61054792</v>
      </c>
      <c r="L230" s="760">
        <f>SUM(L231:L240)</f>
        <v>64182394</v>
      </c>
      <c r="M230" s="788">
        <f>SUM(M231:M240)</f>
        <v>67372051</v>
      </c>
    </row>
    <row r="231" spans="1:13" ht="13.5">
      <c r="A231" s="777" t="str">
        <f t="shared" ref="A231:A240" si="33">A63</f>
        <v>6.2 - Administration Transport,safety,Security</v>
      </c>
      <c r="B231" s="964"/>
      <c r="C231" s="400">
        <v>1506593</v>
      </c>
      <c r="D231" s="109"/>
      <c r="E231" s="109"/>
      <c r="F231" s="109"/>
      <c r="G231" s="109"/>
      <c r="H231" s="109"/>
      <c r="I231" s="109">
        <v>-2367</v>
      </c>
      <c r="J231" s="75">
        <f t="shared" si="24"/>
        <v>-2367</v>
      </c>
      <c r="K231" s="75">
        <f t="shared" si="25"/>
        <v>1504226</v>
      </c>
      <c r="L231" s="109">
        <v>1703029</v>
      </c>
      <c r="M231" s="109">
        <v>1741596</v>
      </c>
    </row>
    <row r="232" spans="1:13" ht="13.5">
      <c r="A232" s="777" t="str">
        <f t="shared" si="33"/>
        <v>6.3 - Vehicle licencing</v>
      </c>
      <c r="B232" s="964"/>
      <c r="C232" s="400">
        <v>34552146</v>
      </c>
      <c r="D232" s="109"/>
      <c r="E232" s="109"/>
      <c r="F232" s="109"/>
      <c r="G232" s="109"/>
      <c r="H232" s="109"/>
      <c r="I232" s="109">
        <v>-5158</v>
      </c>
      <c r="J232" s="75">
        <f t="shared" si="24"/>
        <v>-5158</v>
      </c>
      <c r="K232" s="75">
        <f t="shared" si="25"/>
        <v>34546988</v>
      </c>
      <c r="L232" s="109">
        <v>36245201</v>
      </c>
      <c r="M232" s="109">
        <v>38110817</v>
      </c>
    </row>
    <row r="233" spans="1:13" ht="13.5">
      <c r="A233" s="777" t="str">
        <f t="shared" si="33"/>
        <v>6.1 - Traffic services</v>
      </c>
      <c r="B233" s="964"/>
      <c r="C233" s="400">
        <v>25008736</v>
      </c>
      <c r="D233" s="109"/>
      <c r="E233" s="109"/>
      <c r="F233" s="109"/>
      <c r="G233" s="109"/>
      <c r="H233" s="109"/>
      <c r="I233" s="109">
        <v>-5158</v>
      </c>
      <c r="J233" s="75">
        <f t="shared" si="24"/>
        <v>-5158</v>
      </c>
      <c r="K233" s="75">
        <f t="shared" si="25"/>
        <v>25003578</v>
      </c>
      <c r="L233" s="109">
        <v>26234164</v>
      </c>
      <c r="M233" s="109">
        <v>27519638</v>
      </c>
    </row>
    <row r="234" spans="1:13" ht="13.5">
      <c r="A234" s="777">
        <f t="shared" si="33"/>
        <v>0</v>
      </c>
      <c r="B234" s="964"/>
      <c r="C234" s="400"/>
      <c r="D234" s="109"/>
      <c r="E234" s="109"/>
      <c r="F234" s="109"/>
      <c r="G234" s="109"/>
      <c r="H234" s="109"/>
      <c r="I234" s="109"/>
      <c r="J234" s="75">
        <f t="shared" si="24"/>
        <v>0</v>
      </c>
      <c r="K234" s="75">
        <f t="shared" si="25"/>
        <v>0</v>
      </c>
      <c r="L234" s="109"/>
      <c r="M234" s="109"/>
    </row>
    <row r="235" spans="1:13" ht="13.5">
      <c r="A235" s="777">
        <f t="shared" si="33"/>
        <v>0</v>
      </c>
      <c r="B235" s="964"/>
      <c r="C235" s="400"/>
      <c r="D235" s="109"/>
      <c r="E235" s="109"/>
      <c r="F235" s="109"/>
      <c r="G235" s="109"/>
      <c r="H235" s="109"/>
      <c r="I235" s="109"/>
      <c r="J235" s="75">
        <f t="shared" si="24"/>
        <v>0</v>
      </c>
      <c r="K235" s="75">
        <f t="shared" si="25"/>
        <v>0</v>
      </c>
      <c r="L235" s="109"/>
      <c r="M235" s="109"/>
    </row>
    <row r="236" spans="1:13" ht="13.5">
      <c r="A236" s="777">
        <f t="shared" si="33"/>
        <v>0</v>
      </c>
      <c r="B236" s="964"/>
      <c r="C236" s="400"/>
      <c r="D236" s="109"/>
      <c r="E236" s="109"/>
      <c r="F236" s="109"/>
      <c r="G236" s="109"/>
      <c r="H236" s="109"/>
      <c r="I236" s="109"/>
      <c r="J236" s="75">
        <f t="shared" si="24"/>
        <v>0</v>
      </c>
      <c r="K236" s="75">
        <f t="shared" si="25"/>
        <v>0</v>
      </c>
      <c r="L236" s="109"/>
      <c r="M236" s="109"/>
    </row>
    <row r="237" spans="1:13" ht="13.5">
      <c r="A237" s="777">
        <f t="shared" si="33"/>
        <v>0</v>
      </c>
      <c r="B237" s="964"/>
      <c r="C237" s="400"/>
      <c r="D237" s="109"/>
      <c r="E237" s="109"/>
      <c r="F237" s="109"/>
      <c r="G237" s="109"/>
      <c r="H237" s="109"/>
      <c r="I237" s="109"/>
      <c r="J237" s="75">
        <f t="shared" si="24"/>
        <v>0</v>
      </c>
      <c r="K237" s="75">
        <f t="shared" si="25"/>
        <v>0</v>
      </c>
      <c r="L237" s="109"/>
      <c r="M237" s="110"/>
    </row>
    <row r="238" spans="1:13" ht="13.5">
      <c r="A238" s="777">
        <f t="shared" si="33"/>
        <v>0</v>
      </c>
      <c r="B238" s="964"/>
      <c r="C238" s="400"/>
      <c r="D238" s="109"/>
      <c r="E238" s="109"/>
      <c r="F238" s="109"/>
      <c r="G238" s="109"/>
      <c r="H238" s="109"/>
      <c r="I238" s="109"/>
      <c r="J238" s="75">
        <f t="shared" si="24"/>
        <v>0</v>
      </c>
      <c r="K238" s="75">
        <f t="shared" si="25"/>
        <v>0</v>
      </c>
      <c r="L238" s="109"/>
      <c r="M238" s="110"/>
    </row>
    <row r="239" spans="1:13" ht="13.5">
      <c r="A239" s="777">
        <f t="shared" si="33"/>
        <v>0</v>
      </c>
      <c r="B239" s="964"/>
      <c r="C239" s="400"/>
      <c r="D239" s="109"/>
      <c r="E239" s="109"/>
      <c r="F239" s="109"/>
      <c r="G239" s="109"/>
      <c r="H239" s="109"/>
      <c r="I239" s="109"/>
      <c r="J239" s="75">
        <f t="shared" si="24"/>
        <v>0</v>
      </c>
      <c r="K239" s="75">
        <f t="shared" si="25"/>
        <v>0</v>
      </c>
      <c r="L239" s="109"/>
      <c r="M239" s="110"/>
    </row>
    <row r="240" spans="1:13" ht="13.5">
      <c r="A240" s="777">
        <f t="shared" si="33"/>
        <v>0</v>
      </c>
      <c r="B240" s="964"/>
      <c r="C240" s="400"/>
      <c r="D240" s="109"/>
      <c r="E240" s="109"/>
      <c r="F240" s="109"/>
      <c r="G240" s="109"/>
      <c r="H240" s="109"/>
      <c r="I240" s="109"/>
      <c r="J240" s="75">
        <f t="shared" ref="J240:J303" si="34">SUM(E240:I240)</f>
        <v>0</v>
      </c>
      <c r="K240" s="75">
        <f t="shared" ref="K240:K303" si="35">IF(D240=0,C240+J240,D240+J240)</f>
        <v>0</v>
      </c>
      <c r="L240" s="109"/>
      <c r="M240" s="110"/>
    </row>
    <row r="241" spans="1:13" ht="13.5">
      <c r="A241" s="774" t="str">
        <f>A73</f>
        <v>Vote 7 - Electrical Engineering Services</v>
      </c>
      <c r="B241" s="963"/>
      <c r="C241" s="761">
        <f t="shared" ref="C241:I241" si="36">SUM(C242:C251)</f>
        <v>357038728</v>
      </c>
      <c r="D241" s="760">
        <f t="shared" si="36"/>
        <v>0</v>
      </c>
      <c r="E241" s="760">
        <f t="shared" si="36"/>
        <v>0</v>
      </c>
      <c r="F241" s="760">
        <f t="shared" si="36"/>
        <v>0</v>
      </c>
      <c r="G241" s="760">
        <f t="shared" si="36"/>
        <v>0</v>
      </c>
      <c r="H241" s="760">
        <f t="shared" si="36"/>
        <v>0</v>
      </c>
      <c r="I241" s="760">
        <f t="shared" si="36"/>
        <v>5187995</v>
      </c>
      <c r="J241" s="75">
        <f t="shared" si="34"/>
        <v>5187995</v>
      </c>
      <c r="K241" s="75">
        <f t="shared" si="35"/>
        <v>362226723</v>
      </c>
      <c r="L241" s="760">
        <f>SUM(L242:L251)</f>
        <v>383192450</v>
      </c>
      <c r="M241" s="788">
        <f>SUM(M242:M251)</f>
        <v>404319773</v>
      </c>
    </row>
    <row r="242" spans="1:13" ht="13.5">
      <c r="A242" s="777" t="str">
        <f t="shared" ref="A242:A251" si="37">A74</f>
        <v>7.1 - Administration Electrical Engineering</v>
      </c>
      <c r="B242" s="964"/>
      <c r="C242" s="400">
        <v>35603594</v>
      </c>
      <c r="D242" s="109"/>
      <c r="E242" s="109"/>
      <c r="F242" s="109"/>
      <c r="G242" s="109"/>
      <c r="H242" s="109"/>
      <c r="I242" s="109">
        <v>-1689</v>
      </c>
      <c r="J242" s="75">
        <f t="shared" si="34"/>
        <v>-1689</v>
      </c>
      <c r="K242" s="75">
        <f t="shared" si="35"/>
        <v>35601905</v>
      </c>
      <c r="L242" s="109">
        <v>37470783</v>
      </c>
      <c r="M242" s="109">
        <v>39261970</v>
      </c>
    </row>
    <row r="243" spans="1:13" ht="13.5">
      <c r="A243" s="777" t="str">
        <f t="shared" si="37"/>
        <v>7.2 - Operations &amp; Maintenance: Rural</v>
      </c>
      <c r="B243" s="964"/>
      <c r="C243" s="400">
        <v>242447941</v>
      </c>
      <c r="D243" s="109"/>
      <c r="E243" s="109"/>
      <c r="F243" s="109"/>
      <c r="G243" s="109"/>
      <c r="H243" s="109"/>
      <c r="I243" s="109">
        <v>-5158</v>
      </c>
      <c r="J243" s="75">
        <f t="shared" si="34"/>
        <v>-5158</v>
      </c>
      <c r="K243" s="75">
        <f t="shared" si="35"/>
        <v>242442783</v>
      </c>
      <c r="L243" s="109">
        <v>260032599</v>
      </c>
      <c r="M243" s="109">
        <v>275373461</v>
      </c>
    </row>
    <row r="244" spans="1:13" ht="13.5">
      <c r="A244" s="777" t="str">
        <f t="shared" si="37"/>
        <v>7.3 - Operations &amp; Maintenance: Town</v>
      </c>
      <c r="B244" s="964"/>
      <c r="C244" s="400">
        <v>78987193</v>
      </c>
      <c r="D244" s="109"/>
      <c r="E244" s="109"/>
      <c r="F244" s="109"/>
      <c r="G244" s="109"/>
      <c r="H244" s="109"/>
      <c r="I244" s="109">
        <f>-5158+5200000</f>
        <v>5194842</v>
      </c>
      <c r="J244" s="75">
        <f t="shared" si="34"/>
        <v>5194842</v>
      </c>
      <c r="K244" s="75">
        <f t="shared" si="35"/>
        <v>84182035</v>
      </c>
      <c r="L244" s="109">
        <v>85689068</v>
      </c>
      <c r="M244" s="109">
        <v>89684342</v>
      </c>
    </row>
    <row r="245" spans="1:13" ht="13.5">
      <c r="A245" s="777">
        <f t="shared" si="37"/>
        <v>0</v>
      </c>
      <c r="B245" s="964"/>
      <c r="C245" s="400"/>
      <c r="D245" s="109"/>
      <c r="E245" s="109"/>
      <c r="F245" s="109"/>
      <c r="G245" s="109"/>
      <c r="H245" s="109"/>
      <c r="I245" s="109"/>
      <c r="J245" s="75">
        <f t="shared" si="34"/>
        <v>0</v>
      </c>
      <c r="K245" s="75">
        <f t="shared" si="35"/>
        <v>0</v>
      </c>
      <c r="L245" s="109"/>
      <c r="M245" s="109"/>
    </row>
    <row r="246" spans="1:13" ht="13.5">
      <c r="A246" s="777">
        <f t="shared" si="37"/>
        <v>0</v>
      </c>
      <c r="B246" s="964"/>
      <c r="C246" s="400"/>
      <c r="D246" s="109"/>
      <c r="E246" s="109"/>
      <c r="F246" s="109"/>
      <c r="G246" s="109"/>
      <c r="H246" s="109"/>
      <c r="I246" s="109"/>
      <c r="J246" s="75">
        <f t="shared" si="34"/>
        <v>0</v>
      </c>
      <c r="K246" s="75">
        <f t="shared" si="35"/>
        <v>0</v>
      </c>
      <c r="L246" s="109"/>
      <c r="M246" s="109"/>
    </row>
    <row r="247" spans="1:13" ht="13.5">
      <c r="A247" s="777">
        <f t="shared" si="37"/>
        <v>0</v>
      </c>
      <c r="B247" s="964"/>
      <c r="C247" s="400"/>
      <c r="D247" s="109"/>
      <c r="E247" s="109"/>
      <c r="F247" s="109"/>
      <c r="G247" s="109"/>
      <c r="H247" s="109"/>
      <c r="I247" s="109"/>
      <c r="J247" s="75">
        <f t="shared" si="34"/>
        <v>0</v>
      </c>
      <c r="K247" s="75">
        <f t="shared" si="35"/>
        <v>0</v>
      </c>
      <c r="L247" s="109"/>
      <c r="M247" s="109"/>
    </row>
    <row r="248" spans="1:13" ht="13.5">
      <c r="A248" s="777">
        <f t="shared" si="37"/>
        <v>0</v>
      </c>
      <c r="B248" s="964"/>
      <c r="C248" s="400"/>
      <c r="D248" s="109"/>
      <c r="E248" s="109"/>
      <c r="F248" s="109"/>
      <c r="G248" s="109"/>
      <c r="H248" s="109"/>
      <c r="I248" s="109"/>
      <c r="J248" s="75">
        <f t="shared" si="34"/>
        <v>0</v>
      </c>
      <c r="K248" s="75">
        <f t="shared" si="35"/>
        <v>0</v>
      </c>
      <c r="L248" s="109"/>
      <c r="M248" s="110"/>
    </row>
    <row r="249" spans="1:13" ht="13.5">
      <c r="A249" s="777">
        <f t="shared" si="37"/>
        <v>0</v>
      </c>
      <c r="B249" s="964"/>
      <c r="C249" s="400"/>
      <c r="D249" s="109"/>
      <c r="E249" s="109"/>
      <c r="F249" s="109"/>
      <c r="G249" s="109"/>
      <c r="H249" s="109"/>
      <c r="I249" s="109"/>
      <c r="J249" s="75">
        <f t="shared" si="34"/>
        <v>0</v>
      </c>
      <c r="K249" s="75">
        <f t="shared" si="35"/>
        <v>0</v>
      </c>
      <c r="L249" s="109"/>
      <c r="M249" s="110"/>
    </row>
    <row r="250" spans="1:13" ht="13.5">
      <c r="A250" s="777">
        <f t="shared" si="37"/>
        <v>0</v>
      </c>
      <c r="B250" s="964"/>
      <c r="C250" s="400"/>
      <c r="D250" s="109"/>
      <c r="E250" s="109"/>
      <c r="F250" s="109"/>
      <c r="G250" s="109"/>
      <c r="H250" s="109"/>
      <c r="I250" s="109"/>
      <c r="J250" s="75">
        <f t="shared" si="34"/>
        <v>0</v>
      </c>
      <c r="K250" s="75">
        <f t="shared" si="35"/>
        <v>0</v>
      </c>
      <c r="L250" s="109"/>
      <c r="M250" s="110"/>
    </row>
    <row r="251" spans="1:13" ht="13.5">
      <c r="A251" s="777">
        <f t="shared" si="37"/>
        <v>0</v>
      </c>
      <c r="B251" s="964"/>
      <c r="C251" s="400"/>
      <c r="D251" s="109"/>
      <c r="E251" s="109"/>
      <c r="F251" s="109"/>
      <c r="G251" s="109"/>
      <c r="H251" s="109"/>
      <c r="I251" s="109"/>
      <c r="J251" s="75">
        <f t="shared" si="34"/>
        <v>0</v>
      </c>
      <c r="K251" s="75">
        <f t="shared" si="35"/>
        <v>0</v>
      </c>
      <c r="L251" s="109"/>
      <c r="M251" s="110"/>
    </row>
    <row r="252" spans="1:13" ht="13.5">
      <c r="A252" s="774" t="str">
        <f>A84</f>
        <v>Vote 8 - Engineering Services</v>
      </c>
      <c r="B252" s="964"/>
      <c r="C252" s="761">
        <f t="shared" ref="C252:I252" si="38">SUM(C253:C262)</f>
        <v>112171584</v>
      </c>
      <c r="D252" s="760">
        <f t="shared" si="38"/>
        <v>0</v>
      </c>
      <c r="E252" s="760">
        <f t="shared" si="38"/>
        <v>0</v>
      </c>
      <c r="F252" s="760">
        <f t="shared" si="38"/>
        <v>0</v>
      </c>
      <c r="G252" s="760">
        <f t="shared" si="38"/>
        <v>0</v>
      </c>
      <c r="H252" s="760">
        <f t="shared" si="38"/>
        <v>0</v>
      </c>
      <c r="I252" s="760">
        <f t="shared" si="38"/>
        <v>-240056</v>
      </c>
      <c r="J252" s="75">
        <f t="shared" si="34"/>
        <v>-240056</v>
      </c>
      <c r="K252" s="75">
        <f t="shared" si="35"/>
        <v>111931528</v>
      </c>
      <c r="L252" s="760">
        <f>SUM(L253:L262)</f>
        <v>121962675</v>
      </c>
      <c r="M252" s="788">
        <f>SUM(M253:M262)</f>
        <v>127044875</v>
      </c>
    </row>
    <row r="253" spans="1:13" ht="13.5">
      <c r="A253" s="777" t="str">
        <f t="shared" ref="A253:A273" si="39">A85</f>
        <v>8.1 - Fleet Management</v>
      </c>
      <c r="B253" s="964"/>
      <c r="C253" s="400">
        <v>3470880</v>
      </c>
      <c r="D253" s="109"/>
      <c r="E253" s="109"/>
      <c r="F253" s="109"/>
      <c r="G253" s="109"/>
      <c r="H253" s="109"/>
      <c r="I253" s="109">
        <v>-5158</v>
      </c>
      <c r="J253" s="75">
        <f t="shared" si="34"/>
        <v>-5158</v>
      </c>
      <c r="K253" s="75">
        <f t="shared" si="35"/>
        <v>3465722</v>
      </c>
      <c r="L253" s="109">
        <v>3640953</v>
      </c>
      <c r="M253" s="109">
        <v>3819360</v>
      </c>
    </row>
    <row r="254" spans="1:13" ht="13.5">
      <c r="A254" s="777" t="str">
        <f t="shared" si="39"/>
        <v>8.2 - Administration Civil Engineering</v>
      </c>
      <c r="B254" s="964"/>
      <c r="C254" s="400">
        <v>5175928</v>
      </c>
      <c r="D254" s="109"/>
      <c r="E254" s="109"/>
      <c r="F254" s="109"/>
      <c r="G254" s="109"/>
      <c r="H254" s="109"/>
      <c r="I254" s="109">
        <v>-9582</v>
      </c>
      <c r="J254" s="75">
        <f t="shared" si="34"/>
        <v>-9582</v>
      </c>
      <c r="K254" s="75">
        <f t="shared" si="35"/>
        <v>5166346</v>
      </c>
      <c r="L254" s="109">
        <v>5552161</v>
      </c>
      <c r="M254" s="109">
        <v>5779336</v>
      </c>
    </row>
    <row r="255" spans="1:13" ht="13.5">
      <c r="A255" s="777" t="str">
        <f t="shared" si="39"/>
        <v>8.3 - Roads &amp; stormwater Management</v>
      </c>
      <c r="B255" s="964"/>
      <c r="C255" s="400">
        <v>85272748</v>
      </c>
      <c r="D255" s="109"/>
      <c r="E255" s="109"/>
      <c r="F255" s="109"/>
      <c r="G255" s="109"/>
      <c r="H255" s="109"/>
      <c r="I255" s="109">
        <f>-215000-5158</f>
        <v>-220158</v>
      </c>
      <c r="J255" s="75">
        <f t="shared" si="34"/>
        <v>-220158</v>
      </c>
      <c r="K255" s="75">
        <f t="shared" si="35"/>
        <v>85052590</v>
      </c>
      <c r="L255" s="109">
        <v>90701772</v>
      </c>
      <c r="M255" s="109">
        <v>94855845</v>
      </c>
    </row>
    <row r="256" spans="1:13" ht="13.5">
      <c r="A256" s="777" t="str">
        <f t="shared" si="39"/>
        <v>8.4 - Water Networks</v>
      </c>
      <c r="B256" s="964"/>
      <c r="C256" s="400"/>
      <c r="D256" s="109"/>
      <c r="E256" s="109"/>
      <c r="F256" s="109"/>
      <c r="G256" s="109"/>
      <c r="H256" s="109"/>
      <c r="I256" s="109"/>
      <c r="J256" s="75">
        <f t="shared" si="34"/>
        <v>0</v>
      </c>
      <c r="K256" s="75">
        <f t="shared" si="35"/>
        <v>0</v>
      </c>
      <c r="L256" s="109"/>
      <c r="M256" s="109"/>
    </row>
    <row r="257" spans="1:13" ht="13.5">
      <c r="A257" s="777" t="str">
        <f t="shared" si="39"/>
        <v>8.5 - Water Purification</v>
      </c>
      <c r="B257" s="964"/>
      <c r="C257" s="400"/>
      <c r="D257" s="109"/>
      <c r="E257" s="109"/>
      <c r="F257" s="109"/>
      <c r="G257" s="109"/>
      <c r="H257" s="109"/>
      <c r="I257" s="109"/>
      <c r="J257" s="75">
        <f t="shared" si="34"/>
        <v>0</v>
      </c>
      <c r="K257" s="75">
        <f t="shared" si="35"/>
        <v>0</v>
      </c>
      <c r="L257" s="109"/>
      <c r="M257" s="109"/>
    </row>
    <row r="258" spans="1:13" ht="13.5">
      <c r="A258" s="777" t="str">
        <f t="shared" si="39"/>
        <v>8.6 - Building &amp; Housing</v>
      </c>
      <c r="B258" s="964"/>
      <c r="C258" s="400">
        <v>15431307</v>
      </c>
      <c r="D258" s="109"/>
      <c r="E258" s="109"/>
      <c r="F258" s="109"/>
      <c r="G258" s="109"/>
      <c r="H258" s="109"/>
      <c r="I258" s="109">
        <v>-5158</v>
      </c>
      <c r="J258" s="75">
        <f t="shared" si="34"/>
        <v>-5158</v>
      </c>
      <c r="K258" s="75">
        <f t="shared" si="35"/>
        <v>15426149</v>
      </c>
      <c r="L258" s="109">
        <v>16236486</v>
      </c>
      <c r="M258" s="109">
        <v>17364153</v>
      </c>
    </row>
    <row r="259" spans="1:13" ht="13.5">
      <c r="A259" s="777" t="str">
        <f t="shared" si="39"/>
        <v>8.7 - Project Management</v>
      </c>
      <c r="B259" s="964"/>
      <c r="C259" s="400">
        <v>2820721</v>
      </c>
      <c r="D259" s="109"/>
      <c r="E259" s="109"/>
      <c r="F259" s="109"/>
      <c r="G259" s="109"/>
      <c r="H259" s="109"/>
      <c r="I259" s="109"/>
      <c r="J259" s="75">
        <f t="shared" si="34"/>
        <v>0</v>
      </c>
      <c r="K259" s="75">
        <f t="shared" si="35"/>
        <v>2820721</v>
      </c>
      <c r="L259" s="109">
        <v>5831303</v>
      </c>
      <c r="M259" s="109">
        <v>5226181</v>
      </c>
    </row>
    <row r="260" spans="1:13" ht="13.5">
      <c r="A260" s="777" t="str">
        <f t="shared" si="39"/>
        <v>8.8 - Sewerage Purification</v>
      </c>
      <c r="B260" s="964"/>
      <c r="C260" s="400"/>
      <c r="D260" s="109"/>
      <c r="E260" s="109"/>
      <c r="F260" s="109"/>
      <c r="G260" s="109"/>
      <c r="H260" s="109"/>
      <c r="I260" s="109"/>
      <c r="J260" s="75">
        <f t="shared" si="34"/>
        <v>0</v>
      </c>
      <c r="K260" s="75">
        <f t="shared" si="35"/>
        <v>0</v>
      </c>
      <c r="L260" s="109"/>
      <c r="M260" s="110"/>
    </row>
    <row r="261" spans="1:13" ht="13.5">
      <c r="A261" s="777">
        <f t="shared" si="39"/>
        <v>0</v>
      </c>
      <c r="B261" s="964"/>
      <c r="C261" s="400"/>
      <c r="D261" s="109"/>
      <c r="E261" s="109"/>
      <c r="F261" s="109"/>
      <c r="G261" s="109"/>
      <c r="H261" s="109"/>
      <c r="I261" s="109"/>
      <c r="J261" s="75">
        <f t="shared" si="34"/>
        <v>0</v>
      </c>
      <c r="K261" s="75">
        <f t="shared" si="35"/>
        <v>0</v>
      </c>
      <c r="L261" s="109"/>
      <c r="M261" s="110"/>
    </row>
    <row r="262" spans="1:13" ht="13.5">
      <c r="A262" s="777">
        <f t="shared" si="39"/>
        <v>0</v>
      </c>
      <c r="B262" s="964"/>
      <c r="C262" s="400"/>
      <c r="D262" s="109"/>
      <c r="E262" s="109"/>
      <c r="F262" s="109"/>
      <c r="G262" s="109"/>
      <c r="H262" s="109"/>
      <c r="I262" s="109"/>
      <c r="J262" s="75">
        <f t="shared" si="34"/>
        <v>0</v>
      </c>
      <c r="K262" s="75">
        <f t="shared" si="35"/>
        <v>0</v>
      </c>
      <c r="L262" s="109"/>
      <c r="M262" s="110"/>
    </row>
    <row r="263" spans="1:13" ht="13.5">
      <c r="A263" s="774" t="str">
        <f t="shared" si="39"/>
        <v>Vote 9 - [NAME OF VOTE 9]</v>
      </c>
      <c r="B263" s="964"/>
      <c r="C263" s="761">
        <f t="shared" ref="C263:I263" si="40">SUM(C264:C273)</f>
        <v>0</v>
      </c>
      <c r="D263" s="760">
        <f t="shared" si="40"/>
        <v>0</v>
      </c>
      <c r="E263" s="760">
        <f t="shared" si="40"/>
        <v>0</v>
      </c>
      <c r="F263" s="760">
        <f t="shared" si="40"/>
        <v>0</v>
      </c>
      <c r="G263" s="760">
        <f t="shared" si="40"/>
        <v>0</v>
      </c>
      <c r="H263" s="760">
        <f t="shared" si="40"/>
        <v>0</v>
      </c>
      <c r="I263" s="760">
        <f t="shared" si="40"/>
        <v>0</v>
      </c>
      <c r="J263" s="75">
        <f t="shared" si="34"/>
        <v>0</v>
      </c>
      <c r="K263" s="75">
        <f t="shared" si="35"/>
        <v>0</v>
      </c>
      <c r="L263" s="760">
        <f>SUM(L264:L273)</f>
        <v>0</v>
      </c>
      <c r="M263" s="788">
        <f>SUM(M264:M273)</f>
        <v>0</v>
      </c>
    </row>
    <row r="264" spans="1:13" ht="13.5">
      <c r="A264" s="777" t="str">
        <f t="shared" si="39"/>
        <v>9.1 - [Name of sub-vote]</v>
      </c>
      <c r="B264" s="964"/>
      <c r="C264" s="400"/>
      <c r="D264" s="109"/>
      <c r="E264" s="109"/>
      <c r="F264" s="109"/>
      <c r="G264" s="109"/>
      <c r="H264" s="109"/>
      <c r="I264" s="109"/>
      <c r="J264" s="75">
        <f t="shared" si="34"/>
        <v>0</v>
      </c>
      <c r="K264" s="75">
        <f t="shared" si="35"/>
        <v>0</v>
      </c>
      <c r="L264" s="109"/>
      <c r="M264" s="110"/>
    </row>
    <row r="265" spans="1:13" ht="13.5">
      <c r="A265" s="777">
        <f t="shared" si="39"/>
        <v>0</v>
      </c>
      <c r="B265" s="964"/>
      <c r="C265" s="400"/>
      <c r="D265" s="109"/>
      <c r="E265" s="109"/>
      <c r="F265" s="109"/>
      <c r="G265" s="109"/>
      <c r="H265" s="109"/>
      <c r="I265" s="109"/>
      <c r="J265" s="75">
        <f t="shared" si="34"/>
        <v>0</v>
      </c>
      <c r="K265" s="75">
        <f t="shared" si="35"/>
        <v>0</v>
      </c>
      <c r="L265" s="109"/>
      <c r="M265" s="110"/>
    </row>
    <row r="266" spans="1:13" ht="13.5">
      <c r="A266" s="777">
        <f t="shared" si="39"/>
        <v>0</v>
      </c>
      <c r="B266" s="964"/>
      <c r="C266" s="400"/>
      <c r="D266" s="109"/>
      <c r="E266" s="109"/>
      <c r="F266" s="109"/>
      <c r="G266" s="109"/>
      <c r="H266" s="109"/>
      <c r="I266" s="109"/>
      <c r="J266" s="75">
        <f t="shared" si="34"/>
        <v>0</v>
      </c>
      <c r="K266" s="75">
        <f t="shared" si="35"/>
        <v>0</v>
      </c>
      <c r="L266" s="109"/>
      <c r="M266" s="110"/>
    </row>
    <row r="267" spans="1:13" ht="13.5">
      <c r="A267" s="777">
        <f t="shared" si="39"/>
        <v>0</v>
      </c>
      <c r="B267" s="964"/>
      <c r="C267" s="400"/>
      <c r="D267" s="109"/>
      <c r="E267" s="109"/>
      <c r="F267" s="109"/>
      <c r="G267" s="109"/>
      <c r="H267" s="109"/>
      <c r="I267" s="109"/>
      <c r="J267" s="75">
        <f t="shared" si="34"/>
        <v>0</v>
      </c>
      <c r="K267" s="75">
        <f t="shared" si="35"/>
        <v>0</v>
      </c>
      <c r="L267" s="109"/>
      <c r="M267" s="110"/>
    </row>
    <row r="268" spans="1:13" ht="13.5">
      <c r="A268" s="777">
        <f t="shared" si="39"/>
        <v>0</v>
      </c>
      <c r="B268" s="964"/>
      <c r="C268" s="400"/>
      <c r="D268" s="109"/>
      <c r="E268" s="109"/>
      <c r="F268" s="109"/>
      <c r="G268" s="109"/>
      <c r="H268" s="109"/>
      <c r="I268" s="109"/>
      <c r="J268" s="75">
        <f t="shared" si="34"/>
        <v>0</v>
      </c>
      <c r="K268" s="75">
        <f t="shared" si="35"/>
        <v>0</v>
      </c>
      <c r="L268" s="109"/>
      <c r="M268" s="110"/>
    </row>
    <row r="269" spans="1:13" ht="13.5">
      <c r="A269" s="777">
        <f t="shared" si="39"/>
        <v>0</v>
      </c>
      <c r="B269" s="964"/>
      <c r="C269" s="400"/>
      <c r="D269" s="109"/>
      <c r="E269" s="109"/>
      <c r="F269" s="109"/>
      <c r="G269" s="109"/>
      <c r="H269" s="109"/>
      <c r="I269" s="109"/>
      <c r="J269" s="75">
        <f t="shared" si="34"/>
        <v>0</v>
      </c>
      <c r="K269" s="75">
        <f t="shared" si="35"/>
        <v>0</v>
      </c>
      <c r="L269" s="109"/>
      <c r="M269" s="110"/>
    </row>
    <row r="270" spans="1:13" ht="13.5">
      <c r="A270" s="777">
        <f t="shared" si="39"/>
        <v>0</v>
      </c>
      <c r="B270" s="964"/>
      <c r="C270" s="400"/>
      <c r="D270" s="109"/>
      <c r="E270" s="109"/>
      <c r="F270" s="109"/>
      <c r="G270" s="109"/>
      <c r="H270" s="109"/>
      <c r="I270" s="109"/>
      <c r="J270" s="75">
        <f t="shared" si="34"/>
        <v>0</v>
      </c>
      <c r="K270" s="75">
        <f t="shared" si="35"/>
        <v>0</v>
      </c>
      <c r="L270" s="109"/>
      <c r="M270" s="110"/>
    </row>
    <row r="271" spans="1:13" ht="13.5">
      <c r="A271" s="777">
        <f t="shared" si="39"/>
        <v>0</v>
      </c>
      <c r="B271" s="964"/>
      <c r="C271" s="400"/>
      <c r="D271" s="109"/>
      <c r="E271" s="109"/>
      <c r="F271" s="109"/>
      <c r="G271" s="109"/>
      <c r="H271" s="109"/>
      <c r="I271" s="109"/>
      <c r="J271" s="75">
        <f t="shared" si="34"/>
        <v>0</v>
      </c>
      <c r="K271" s="75">
        <f t="shared" si="35"/>
        <v>0</v>
      </c>
      <c r="L271" s="109"/>
      <c r="M271" s="110"/>
    </row>
    <row r="272" spans="1:13" ht="13.5">
      <c r="A272" s="777">
        <f t="shared" si="39"/>
        <v>0</v>
      </c>
      <c r="B272" s="964"/>
      <c r="C272" s="400"/>
      <c r="D272" s="109"/>
      <c r="E272" s="109"/>
      <c r="F272" s="109"/>
      <c r="G272" s="109"/>
      <c r="H272" s="109"/>
      <c r="I272" s="109"/>
      <c r="J272" s="75">
        <f t="shared" si="34"/>
        <v>0</v>
      </c>
      <c r="K272" s="75">
        <f t="shared" si="35"/>
        <v>0</v>
      </c>
      <c r="L272" s="109"/>
      <c r="M272" s="110"/>
    </row>
    <row r="273" spans="1:13" ht="13.5">
      <c r="A273" s="777">
        <f t="shared" si="39"/>
        <v>0</v>
      </c>
      <c r="B273" s="964"/>
      <c r="C273" s="400"/>
      <c r="D273" s="109"/>
      <c r="E273" s="109"/>
      <c r="F273" s="109"/>
      <c r="G273" s="109"/>
      <c r="H273" s="109"/>
      <c r="I273" s="109"/>
      <c r="J273" s="75">
        <f t="shared" si="34"/>
        <v>0</v>
      </c>
      <c r="K273" s="75">
        <f t="shared" si="35"/>
        <v>0</v>
      </c>
      <c r="L273" s="109"/>
      <c r="M273" s="110"/>
    </row>
    <row r="274" spans="1:13" ht="13.5">
      <c r="A274" s="774" t="str">
        <f>A106</f>
        <v>Vote 10 - [NAME OF VOTE 10]</v>
      </c>
      <c r="B274" s="964"/>
      <c r="C274" s="761">
        <f t="shared" ref="C274:I274" si="41">SUM(C275:C284)</f>
        <v>0</v>
      </c>
      <c r="D274" s="760">
        <f t="shared" si="41"/>
        <v>0</v>
      </c>
      <c r="E274" s="760">
        <f t="shared" si="41"/>
        <v>0</v>
      </c>
      <c r="F274" s="760">
        <f t="shared" si="41"/>
        <v>0</v>
      </c>
      <c r="G274" s="760">
        <f t="shared" si="41"/>
        <v>0</v>
      </c>
      <c r="H274" s="760">
        <f t="shared" si="41"/>
        <v>0</v>
      </c>
      <c r="I274" s="760">
        <f t="shared" si="41"/>
        <v>0</v>
      </c>
      <c r="J274" s="75">
        <f t="shared" si="34"/>
        <v>0</v>
      </c>
      <c r="K274" s="75">
        <f t="shared" si="35"/>
        <v>0</v>
      </c>
      <c r="L274" s="760">
        <f>SUM(L275:L284)</f>
        <v>0</v>
      </c>
      <c r="M274" s="788">
        <f>SUM(M275:M284)</f>
        <v>0</v>
      </c>
    </row>
    <row r="275" spans="1:13" ht="13.5">
      <c r="A275" s="777" t="str">
        <f>A107</f>
        <v>10.1 - [Name of sub-vote]</v>
      </c>
      <c r="B275" s="964"/>
      <c r="C275" s="400"/>
      <c r="D275" s="109"/>
      <c r="E275" s="109"/>
      <c r="F275" s="109"/>
      <c r="G275" s="109"/>
      <c r="H275" s="109"/>
      <c r="I275" s="109"/>
      <c r="J275" s="75">
        <f t="shared" si="34"/>
        <v>0</v>
      </c>
      <c r="K275" s="75">
        <f t="shared" si="35"/>
        <v>0</v>
      </c>
      <c r="L275" s="109"/>
      <c r="M275" s="110"/>
    </row>
    <row r="276" spans="1:13" ht="13.5">
      <c r="A276" s="777">
        <f t="shared" ref="A276:A283" si="42">A108</f>
        <v>0</v>
      </c>
      <c r="B276" s="964"/>
      <c r="C276" s="400"/>
      <c r="D276" s="109"/>
      <c r="E276" s="109"/>
      <c r="F276" s="109"/>
      <c r="G276" s="109"/>
      <c r="H276" s="109"/>
      <c r="I276" s="109"/>
      <c r="J276" s="75">
        <f t="shared" si="34"/>
        <v>0</v>
      </c>
      <c r="K276" s="75">
        <f t="shared" si="35"/>
        <v>0</v>
      </c>
      <c r="L276" s="109"/>
      <c r="M276" s="110"/>
    </row>
    <row r="277" spans="1:13" ht="13.5">
      <c r="A277" s="777">
        <f t="shared" si="42"/>
        <v>0</v>
      </c>
      <c r="B277" s="964"/>
      <c r="C277" s="400"/>
      <c r="D277" s="109"/>
      <c r="E277" s="109"/>
      <c r="F277" s="109"/>
      <c r="G277" s="109"/>
      <c r="H277" s="109"/>
      <c r="I277" s="109"/>
      <c r="J277" s="75">
        <f t="shared" si="34"/>
        <v>0</v>
      </c>
      <c r="K277" s="75">
        <f t="shared" si="35"/>
        <v>0</v>
      </c>
      <c r="L277" s="109"/>
      <c r="M277" s="110"/>
    </row>
    <row r="278" spans="1:13" ht="13.5">
      <c r="A278" s="777">
        <f t="shared" si="42"/>
        <v>0</v>
      </c>
      <c r="B278" s="964"/>
      <c r="C278" s="400"/>
      <c r="D278" s="109"/>
      <c r="E278" s="109"/>
      <c r="F278" s="109"/>
      <c r="G278" s="109"/>
      <c r="H278" s="109"/>
      <c r="I278" s="109"/>
      <c r="J278" s="75">
        <f t="shared" si="34"/>
        <v>0</v>
      </c>
      <c r="K278" s="75">
        <f t="shared" si="35"/>
        <v>0</v>
      </c>
      <c r="L278" s="109"/>
      <c r="M278" s="110"/>
    </row>
    <row r="279" spans="1:13" ht="13.5">
      <c r="A279" s="777">
        <f t="shared" si="42"/>
        <v>0</v>
      </c>
      <c r="B279" s="964"/>
      <c r="C279" s="400"/>
      <c r="D279" s="109"/>
      <c r="E279" s="109"/>
      <c r="F279" s="109"/>
      <c r="G279" s="109"/>
      <c r="H279" s="109"/>
      <c r="I279" s="109"/>
      <c r="J279" s="75">
        <f t="shared" si="34"/>
        <v>0</v>
      </c>
      <c r="K279" s="75">
        <f t="shared" si="35"/>
        <v>0</v>
      </c>
      <c r="L279" s="109"/>
      <c r="M279" s="110"/>
    </row>
    <row r="280" spans="1:13" ht="13.5">
      <c r="A280" s="777">
        <f t="shared" si="42"/>
        <v>0</v>
      </c>
      <c r="B280" s="964"/>
      <c r="C280" s="400"/>
      <c r="D280" s="109"/>
      <c r="E280" s="109"/>
      <c r="F280" s="109"/>
      <c r="G280" s="109"/>
      <c r="H280" s="109"/>
      <c r="I280" s="109"/>
      <c r="J280" s="75">
        <f t="shared" si="34"/>
        <v>0</v>
      </c>
      <c r="K280" s="75">
        <f t="shared" si="35"/>
        <v>0</v>
      </c>
      <c r="L280" s="109"/>
      <c r="M280" s="110"/>
    </row>
    <row r="281" spans="1:13" ht="13.5">
      <c r="A281" s="777">
        <f t="shared" si="42"/>
        <v>0</v>
      </c>
      <c r="B281" s="964"/>
      <c r="C281" s="400"/>
      <c r="D281" s="109"/>
      <c r="E281" s="109"/>
      <c r="F281" s="109"/>
      <c r="G281" s="109"/>
      <c r="H281" s="109"/>
      <c r="I281" s="109"/>
      <c r="J281" s="75">
        <f t="shared" si="34"/>
        <v>0</v>
      </c>
      <c r="K281" s="75">
        <f t="shared" si="35"/>
        <v>0</v>
      </c>
      <c r="L281" s="109"/>
      <c r="M281" s="110"/>
    </row>
    <row r="282" spans="1:13" ht="13.5">
      <c r="A282" s="777">
        <f t="shared" si="42"/>
        <v>0</v>
      </c>
      <c r="B282" s="964"/>
      <c r="C282" s="400"/>
      <c r="D282" s="109"/>
      <c r="E282" s="109"/>
      <c r="F282" s="109"/>
      <c r="G282" s="109"/>
      <c r="H282" s="109"/>
      <c r="I282" s="109"/>
      <c r="J282" s="75">
        <f t="shared" si="34"/>
        <v>0</v>
      </c>
      <c r="K282" s="75">
        <f t="shared" si="35"/>
        <v>0</v>
      </c>
      <c r="L282" s="109"/>
      <c r="M282" s="110"/>
    </row>
    <row r="283" spans="1:13" ht="13.5">
      <c r="A283" s="777">
        <f t="shared" si="42"/>
        <v>0</v>
      </c>
      <c r="B283" s="964"/>
      <c r="C283" s="400"/>
      <c r="D283" s="109"/>
      <c r="E283" s="109"/>
      <c r="F283" s="109"/>
      <c r="G283" s="109"/>
      <c r="H283" s="109"/>
      <c r="I283" s="109"/>
      <c r="J283" s="75">
        <f t="shared" si="34"/>
        <v>0</v>
      </c>
      <c r="K283" s="75">
        <f t="shared" si="35"/>
        <v>0</v>
      </c>
      <c r="L283" s="109"/>
      <c r="M283" s="110"/>
    </row>
    <row r="284" spans="1:13" ht="13.5">
      <c r="A284" s="777">
        <f>A116</f>
        <v>0</v>
      </c>
      <c r="B284" s="964"/>
      <c r="C284" s="400"/>
      <c r="D284" s="109"/>
      <c r="E284" s="109"/>
      <c r="F284" s="109"/>
      <c r="G284" s="109"/>
      <c r="H284" s="109"/>
      <c r="I284" s="109"/>
      <c r="J284" s="75">
        <f t="shared" si="34"/>
        <v>0</v>
      </c>
      <c r="K284" s="75">
        <f t="shared" si="35"/>
        <v>0</v>
      </c>
      <c r="L284" s="109"/>
      <c r="M284" s="110"/>
    </row>
    <row r="285" spans="1:13" ht="13.5">
      <c r="A285" s="774" t="str">
        <f>A117</f>
        <v>Vote 11 - [NAME OF VOTE 11]</v>
      </c>
      <c r="B285" s="964"/>
      <c r="C285" s="761">
        <f t="shared" ref="C285:I285" si="43">SUM(C286:C295)</f>
        <v>0</v>
      </c>
      <c r="D285" s="760">
        <f t="shared" si="43"/>
        <v>0</v>
      </c>
      <c r="E285" s="760">
        <f t="shared" si="43"/>
        <v>0</v>
      </c>
      <c r="F285" s="760">
        <f t="shared" si="43"/>
        <v>0</v>
      </c>
      <c r="G285" s="760">
        <f t="shared" si="43"/>
        <v>0</v>
      </c>
      <c r="H285" s="760">
        <f t="shared" si="43"/>
        <v>0</v>
      </c>
      <c r="I285" s="760">
        <f t="shared" si="43"/>
        <v>0</v>
      </c>
      <c r="J285" s="75">
        <f t="shared" si="34"/>
        <v>0</v>
      </c>
      <c r="K285" s="75">
        <f t="shared" si="35"/>
        <v>0</v>
      </c>
      <c r="L285" s="760">
        <f>SUM(L286:L295)</f>
        <v>0</v>
      </c>
      <c r="M285" s="788">
        <f>SUM(M286:M295)</f>
        <v>0</v>
      </c>
    </row>
    <row r="286" spans="1:13" ht="13.5">
      <c r="A286" s="777" t="str">
        <f>A118</f>
        <v>11.1 - [Name of sub-vote]</v>
      </c>
      <c r="B286" s="964"/>
      <c r="C286" s="400"/>
      <c r="D286" s="109"/>
      <c r="E286" s="109"/>
      <c r="F286" s="109"/>
      <c r="G286" s="109"/>
      <c r="H286" s="109"/>
      <c r="I286" s="109"/>
      <c r="J286" s="75">
        <f t="shared" si="34"/>
        <v>0</v>
      </c>
      <c r="K286" s="75">
        <f t="shared" si="35"/>
        <v>0</v>
      </c>
      <c r="L286" s="109"/>
      <c r="M286" s="110"/>
    </row>
    <row r="287" spans="1:13" ht="13.5">
      <c r="A287" s="777">
        <f t="shared" ref="A287:A339" si="44">A119</f>
        <v>0</v>
      </c>
      <c r="B287" s="964"/>
      <c r="C287" s="400"/>
      <c r="D287" s="109"/>
      <c r="E287" s="109"/>
      <c r="F287" s="109"/>
      <c r="G287" s="109"/>
      <c r="H287" s="109"/>
      <c r="I287" s="109"/>
      <c r="J287" s="75">
        <f t="shared" si="34"/>
        <v>0</v>
      </c>
      <c r="K287" s="75">
        <f t="shared" si="35"/>
        <v>0</v>
      </c>
      <c r="L287" s="109"/>
      <c r="M287" s="110"/>
    </row>
    <row r="288" spans="1:13" ht="13.5">
      <c r="A288" s="777">
        <f t="shared" si="44"/>
        <v>0</v>
      </c>
      <c r="B288" s="964"/>
      <c r="C288" s="400"/>
      <c r="D288" s="109"/>
      <c r="E288" s="109"/>
      <c r="F288" s="109"/>
      <c r="G288" s="109"/>
      <c r="H288" s="109"/>
      <c r="I288" s="109"/>
      <c r="J288" s="75">
        <f t="shared" si="34"/>
        <v>0</v>
      </c>
      <c r="K288" s="75">
        <f t="shared" si="35"/>
        <v>0</v>
      </c>
      <c r="L288" s="109"/>
      <c r="M288" s="110"/>
    </row>
    <row r="289" spans="1:13" ht="13.5">
      <c r="A289" s="777">
        <f t="shared" si="44"/>
        <v>0</v>
      </c>
      <c r="B289" s="964"/>
      <c r="C289" s="400"/>
      <c r="D289" s="109"/>
      <c r="E289" s="109"/>
      <c r="F289" s="109"/>
      <c r="G289" s="109"/>
      <c r="H289" s="109"/>
      <c r="I289" s="109"/>
      <c r="J289" s="75">
        <f t="shared" si="34"/>
        <v>0</v>
      </c>
      <c r="K289" s="75">
        <f t="shared" si="35"/>
        <v>0</v>
      </c>
      <c r="L289" s="109"/>
      <c r="M289" s="110"/>
    </row>
    <row r="290" spans="1:13" ht="13.5">
      <c r="A290" s="777">
        <f t="shared" si="44"/>
        <v>0</v>
      </c>
      <c r="B290" s="964"/>
      <c r="C290" s="400"/>
      <c r="D290" s="109"/>
      <c r="E290" s="109"/>
      <c r="F290" s="109"/>
      <c r="G290" s="109"/>
      <c r="H290" s="109"/>
      <c r="I290" s="109"/>
      <c r="J290" s="75">
        <f t="shared" si="34"/>
        <v>0</v>
      </c>
      <c r="K290" s="75">
        <f t="shared" si="35"/>
        <v>0</v>
      </c>
      <c r="L290" s="109"/>
      <c r="M290" s="110"/>
    </row>
    <row r="291" spans="1:13" ht="13.5">
      <c r="A291" s="777">
        <f t="shared" si="44"/>
        <v>0</v>
      </c>
      <c r="B291" s="964"/>
      <c r="C291" s="400"/>
      <c r="D291" s="109"/>
      <c r="E291" s="109"/>
      <c r="F291" s="109"/>
      <c r="G291" s="109"/>
      <c r="H291" s="109"/>
      <c r="I291" s="109"/>
      <c r="J291" s="75">
        <f t="shared" si="34"/>
        <v>0</v>
      </c>
      <c r="K291" s="75">
        <f t="shared" si="35"/>
        <v>0</v>
      </c>
      <c r="L291" s="109"/>
      <c r="M291" s="110"/>
    </row>
    <row r="292" spans="1:13" ht="13.5">
      <c r="A292" s="777">
        <f t="shared" si="44"/>
        <v>0</v>
      </c>
      <c r="B292" s="964"/>
      <c r="C292" s="400"/>
      <c r="D292" s="109"/>
      <c r="E292" s="109"/>
      <c r="F292" s="109"/>
      <c r="G292" s="109"/>
      <c r="H292" s="109"/>
      <c r="I292" s="109"/>
      <c r="J292" s="75">
        <f t="shared" si="34"/>
        <v>0</v>
      </c>
      <c r="K292" s="75">
        <f t="shared" si="35"/>
        <v>0</v>
      </c>
      <c r="L292" s="109"/>
      <c r="M292" s="110"/>
    </row>
    <row r="293" spans="1:13" ht="13.5">
      <c r="A293" s="777">
        <f t="shared" si="44"/>
        <v>0</v>
      </c>
      <c r="B293" s="964"/>
      <c r="C293" s="400"/>
      <c r="D293" s="109"/>
      <c r="E293" s="109"/>
      <c r="F293" s="109"/>
      <c r="G293" s="109"/>
      <c r="H293" s="109"/>
      <c r="I293" s="109"/>
      <c r="J293" s="75">
        <f t="shared" si="34"/>
        <v>0</v>
      </c>
      <c r="K293" s="75">
        <f t="shared" si="35"/>
        <v>0</v>
      </c>
      <c r="L293" s="109"/>
      <c r="M293" s="110"/>
    </row>
    <row r="294" spans="1:13" ht="13.5">
      <c r="A294" s="777">
        <f t="shared" si="44"/>
        <v>0</v>
      </c>
      <c r="B294" s="964"/>
      <c r="C294" s="400"/>
      <c r="D294" s="109"/>
      <c r="E294" s="109"/>
      <c r="F294" s="109"/>
      <c r="G294" s="109"/>
      <c r="H294" s="109"/>
      <c r="I294" s="109"/>
      <c r="J294" s="75">
        <f t="shared" si="34"/>
        <v>0</v>
      </c>
      <c r="K294" s="75">
        <f t="shared" si="35"/>
        <v>0</v>
      </c>
      <c r="L294" s="109"/>
      <c r="M294" s="110"/>
    </row>
    <row r="295" spans="1:13" ht="13.5">
      <c r="A295" s="777">
        <f t="shared" si="44"/>
        <v>0</v>
      </c>
      <c r="B295" s="964"/>
      <c r="C295" s="400"/>
      <c r="D295" s="109"/>
      <c r="E295" s="109"/>
      <c r="F295" s="109"/>
      <c r="G295" s="109"/>
      <c r="H295" s="109"/>
      <c r="I295" s="109"/>
      <c r="J295" s="75">
        <f t="shared" si="34"/>
        <v>0</v>
      </c>
      <c r="K295" s="75">
        <f t="shared" si="35"/>
        <v>0</v>
      </c>
      <c r="L295" s="109"/>
      <c r="M295" s="110"/>
    </row>
    <row r="296" spans="1:13" ht="13.5">
      <c r="A296" s="774" t="str">
        <f t="shared" si="44"/>
        <v>Vote 12 - [NAME OF VOTE 12]</v>
      </c>
      <c r="B296" s="964"/>
      <c r="C296" s="761">
        <f t="shared" ref="C296:I296" si="45">SUM(C297:C306)</f>
        <v>0</v>
      </c>
      <c r="D296" s="760">
        <f t="shared" si="45"/>
        <v>0</v>
      </c>
      <c r="E296" s="760">
        <f t="shared" si="45"/>
        <v>0</v>
      </c>
      <c r="F296" s="760">
        <f t="shared" si="45"/>
        <v>0</v>
      </c>
      <c r="G296" s="760">
        <f t="shared" si="45"/>
        <v>0</v>
      </c>
      <c r="H296" s="760">
        <f t="shared" si="45"/>
        <v>0</v>
      </c>
      <c r="I296" s="760">
        <f t="shared" si="45"/>
        <v>0</v>
      </c>
      <c r="J296" s="75">
        <f t="shared" si="34"/>
        <v>0</v>
      </c>
      <c r="K296" s="75">
        <f t="shared" si="35"/>
        <v>0</v>
      </c>
      <c r="L296" s="760">
        <f>SUM(L297:L306)</f>
        <v>0</v>
      </c>
      <c r="M296" s="788">
        <f>SUM(M297:M306)</f>
        <v>0</v>
      </c>
    </row>
    <row r="297" spans="1:13" ht="13.5">
      <c r="A297" s="777" t="str">
        <f t="shared" si="44"/>
        <v>12.1 - [Name of sub-vote]</v>
      </c>
      <c r="B297" s="964"/>
      <c r="C297" s="400"/>
      <c r="D297" s="109"/>
      <c r="E297" s="109"/>
      <c r="F297" s="109"/>
      <c r="G297" s="109"/>
      <c r="H297" s="109"/>
      <c r="I297" s="109"/>
      <c r="J297" s="75">
        <f t="shared" si="34"/>
        <v>0</v>
      </c>
      <c r="K297" s="75">
        <f t="shared" si="35"/>
        <v>0</v>
      </c>
      <c r="L297" s="109"/>
      <c r="M297" s="110"/>
    </row>
    <row r="298" spans="1:13" ht="13.5">
      <c r="A298" s="777">
        <f t="shared" si="44"/>
        <v>0</v>
      </c>
      <c r="B298" s="964"/>
      <c r="C298" s="400"/>
      <c r="D298" s="109"/>
      <c r="E298" s="109"/>
      <c r="F298" s="109"/>
      <c r="G298" s="109"/>
      <c r="H298" s="109"/>
      <c r="I298" s="109"/>
      <c r="J298" s="75">
        <f t="shared" si="34"/>
        <v>0</v>
      </c>
      <c r="K298" s="75">
        <f t="shared" si="35"/>
        <v>0</v>
      </c>
      <c r="L298" s="109"/>
      <c r="M298" s="110"/>
    </row>
    <row r="299" spans="1:13" ht="13.5">
      <c r="A299" s="777">
        <f t="shared" si="44"/>
        <v>0</v>
      </c>
      <c r="B299" s="964"/>
      <c r="C299" s="400"/>
      <c r="D299" s="109"/>
      <c r="E299" s="109"/>
      <c r="F299" s="109"/>
      <c r="G299" s="109"/>
      <c r="H299" s="109"/>
      <c r="I299" s="109"/>
      <c r="J299" s="75">
        <f t="shared" si="34"/>
        <v>0</v>
      </c>
      <c r="K299" s="75">
        <f t="shared" si="35"/>
        <v>0</v>
      </c>
      <c r="L299" s="109"/>
      <c r="M299" s="110"/>
    </row>
    <row r="300" spans="1:13" ht="13.5">
      <c r="A300" s="777">
        <f t="shared" si="44"/>
        <v>0</v>
      </c>
      <c r="B300" s="964"/>
      <c r="C300" s="400"/>
      <c r="D300" s="109"/>
      <c r="E300" s="109"/>
      <c r="F300" s="109"/>
      <c r="G300" s="109"/>
      <c r="H300" s="109"/>
      <c r="I300" s="109"/>
      <c r="J300" s="75">
        <f t="shared" si="34"/>
        <v>0</v>
      </c>
      <c r="K300" s="75">
        <f t="shared" si="35"/>
        <v>0</v>
      </c>
      <c r="L300" s="109"/>
      <c r="M300" s="110"/>
    </row>
    <row r="301" spans="1:13" ht="13.5">
      <c r="A301" s="777">
        <f t="shared" si="44"/>
        <v>0</v>
      </c>
      <c r="B301" s="964"/>
      <c r="C301" s="400"/>
      <c r="D301" s="109"/>
      <c r="E301" s="109"/>
      <c r="F301" s="109"/>
      <c r="G301" s="109"/>
      <c r="H301" s="109"/>
      <c r="I301" s="109"/>
      <c r="J301" s="75">
        <f t="shared" si="34"/>
        <v>0</v>
      </c>
      <c r="K301" s="75">
        <f t="shared" si="35"/>
        <v>0</v>
      </c>
      <c r="L301" s="109"/>
      <c r="M301" s="110"/>
    </row>
    <row r="302" spans="1:13" ht="13.5">
      <c r="A302" s="777">
        <f t="shared" si="44"/>
        <v>0</v>
      </c>
      <c r="B302" s="964"/>
      <c r="C302" s="400"/>
      <c r="D302" s="109"/>
      <c r="E302" s="109"/>
      <c r="F302" s="109"/>
      <c r="G302" s="109"/>
      <c r="H302" s="109"/>
      <c r="I302" s="109"/>
      <c r="J302" s="75">
        <f t="shared" si="34"/>
        <v>0</v>
      </c>
      <c r="K302" s="75">
        <f t="shared" si="35"/>
        <v>0</v>
      </c>
      <c r="L302" s="109"/>
      <c r="M302" s="110"/>
    </row>
    <row r="303" spans="1:13" ht="13.5">
      <c r="A303" s="777">
        <f t="shared" si="44"/>
        <v>0</v>
      </c>
      <c r="B303" s="964"/>
      <c r="C303" s="400"/>
      <c r="D303" s="109"/>
      <c r="E303" s="109"/>
      <c r="F303" s="109"/>
      <c r="G303" s="109"/>
      <c r="H303" s="109"/>
      <c r="I303" s="109"/>
      <c r="J303" s="75">
        <f t="shared" si="34"/>
        <v>0</v>
      </c>
      <c r="K303" s="75">
        <f t="shared" si="35"/>
        <v>0</v>
      </c>
      <c r="L303" s="109"/>
      <c r="M303" s="110"/>
    </row>
    <row r="304" spans="1:13" ht="13.5">
      <c r="A304" s="777">
        <f t="shared" si="44"/>
        <v>0</v>
      </c>
      <c r="B304" s="964"/>
      <c r="C304" s="400"/>
      <c r="D304" s="109"/>
      <c r="E304" s="109"/>
      <c r="F304" s="109"/>
      <c r="G304" s="109"/>
      <c r="H304" s="109"/>
      <c r="I304" s="109"/>
      <c r="J304" s="75">
        <f t="shared" ref="J304:J339" si="46">SUM(E304:I304)</f>
        <v>0</v>
      </c>
      <c r="K304" s="75">
        <f t="shared" ref="K304:K339" si="47">IF(D304=0,C304+J304,D304+J304)</f>
        <v>0</v>
      </c>
      <c r="L304" s="109"/>
      <c r="M304" s="110"/>
    </row>
    <row r="305" spans="1:13" ht="13.5">
      <c r="A305" s="777">
        <f t="shared" si="44"/>
        <v>0</v>
      </c>
      <c r="B305" s="964"/>
      <c r="C305" s="400"/>
      <c r="D305" s="109"/>
      <c r="E305" s="109"/>
      <c r="F305" s="109"/>
      <c r="G305" s="109"/>
      <c r="H305" s="109"/>
      <c r="I305" s="109"/>
      <c r="J305" s="75">
        <f t="shared" si="46"/>
        <v>0</v>
      </c>
      <c r="K305" s="75">
        <f t="shared" si="47"/>
        <v>0</v>
      </c>
      <c r="L305" s="109"/>
      <c r="M305" s="110"/>
    </row>
    <row r="306" spans="1:13" ht="13.5">
      <c r="A306" s="777">
        <f t="shared" si="44"/>
        <v>0</v>
      </c>
      <c r="B306" s="964"/>
      <c r="C306" s="400"/>
      <c r="D306" s="109"/>
      <c r="E306" s="109"/>
      <c r="F306" s="109"/>
      <c r="G306" s="109"/>
      <c r="H306" s="109"/>
      <c r="I306" s="109"/>
      <c r="J306" s="75">
        <f t="shared" si="46"/>
        <v>0</v>
      </c>
      <c r="K306" s="75">
        <f t="shared" si="47"/>
        <v>0</v>
      </c>
      <c r="L306" s="109"/>
      <c r="M306" s="110"/>
    </row>
    <row r="307" spans="1:13" ht="13.5">
      <c r="A307" s="774" t="str">
        <f t="shared" si="44"/>
        <v>Vote 13 - [NAME OF VOTE 13]</v>
      </c>
      <c r="B307" s="964"/>
      <c r="C307" s="761">
        <f t="shared" ref="C307:I307" si="48">SUM(C308:C317)</f>
        <v>0</v>
      </c>
      <c r="D307" s="760">
        <f t="shared" si="48"/>
        <v>0</v>
      </c>
      <c r="E307" s="760">
        <f t="shared" si="48"/>
        <v>0</v>
      </c>
      <c r="F307" s="760">
        <f t="shared" si="48"/>
        <v>0</v>
      </c>
      <c r="G307" s="760">
        <f t="shared" si="48"/>
        <v>0</v>
      </c>
      <c r="H307" s="760">
        <f t="shared" si="48"/>
        <v>0</v>
      </c>
      <c r="I307" s="760">
        <f t="shared" si="48"/>
        <v>0</v>
      </c>
      <c r="J307" s="75">
        <f t="shared" si="46"/>
        <v>0</v>
      </c>
      <c r="K307" s="75">
        <f t="shared" si="47"/>
        <v>0</v>
      </c>
      <c r="L307" s="760">
        <f>SUM(L308:L317)</f>
        <v>0</v>
      </c>
      <c r="M307" s="788">
        <f>SUM(M308:M317)</f>
        <v>0</v>
      </c>
    </row>
    <row r="308" spans="1:13" ht="13.5">
      <c r="A308" s="777" t="str">
        <f t="shared" si="44"/>
        <v>13.1 - [Name of sub-vote]</v>
      </c>
      <c r="B308" s="964"/>
      <c r="C308" s="400"/>
      <c r="D308" s="109"/>
      <c r="E308" s="109"/>
      <c r="F308" s="109"/>
      <c r="G308" s="109"/>
      <c r="H308" s="109"/>
      <c r="I308" s="109"/>
      <c r="J308" s="75">
        <f t="shared" si="46"/>
        <v>0</v>
      </c>
      <c r="K308" s="75">
        <f t="shared" si="47"/>
        <v>0</v>
      </c>
      <c r="L308" s="109"/>
      <c r="M308" s="110"/>
    </row>
    <row r="309" spans="1:13" ht="13.5">
      <c r="A309" s="777">
        <f t="shared" si="44"/>
        <v>0</v>
      </c>
      <c r="B309" s="964"/>
      <c r="C309" s="400"/>
      <c r="D309" s="109"/>
      <c r="E309" s="109"/>
      <c r="F309" s="109"/>
      <c r="G309" s="109"/>
      <c r="H309" s="109"/>
      <c r="I309" s="109"/>
      <c r="J309" s="75">
        <f t="shared" si="46"/>
        <v>0</v>
      </c>
      <c r="K309" s="75">
        <f t="shared" si="47"/>
        <v>0</v>
      </c>
      <c r="L309" s="109"/>
      <c r="M309" s="110"/>
    </row>
    <row r="310" spans="1:13" ht="13.5">
      <c r="A310" s="777">
        <f t="shared" si="44"/>
        <v>0</v>
      </c>
      <c r="B310" s="964"/>
      <c r="C310" s="400"/>
      <c r="D310" s="109"/>
      <c r="E310" s="109"/>
      <c r="F310" s="109"/>
      <c r="G310" s="109"/>
      <c r="H310" s="109"/>
      <c r="I310" s="109"/>
      <c r="J310" s="75">
        <f t="shared" si="46"/>
        <v>0</v>
      </c>
      <c r="K310" s="75">
        <f t="shared" si="47"/>
        <v>0</v>
      </c>
      <c r="L310" s="109"/>
      <c r="M310" s="110"/>
    </row>
    <row r="311" spans="1:13" ht="13.5">
      <c r="A311" s="777">
        <f t="shared" si="44"/>
        <v>0</v>
      </c>
      <c r="B311" s="964"/>
      <c r="C311" s="400"/>
      <c r="D311" s="109"/>
      <c r="E311" s="109"/>
      <c r="F311" s="109"/>
      <c r="G311" s="109"/>
      <c r="H311" s="109"/>
      <c r="I311" s="109"/>
      <c r="J311" s="75">
        <f t="shared" si="46"/>
        <v>0</v>
      </c>
      <c r="K311" s="75">
        <f t="shared" si="47"/>
        <v>0</v>
      </c>
      <c r="L311" s="109"/>
      <c r="M311" s="110"/>
    </row>
    <row r="312" spans="1:13" ht="13.5">
      <c r="A312" s="777">
        <f t="shared" si="44"/>
        <v>0</v>
      </c>
      <c r="B312" s="964"/>
      <c r="C312" s="400"/>
      <c r="D312" s="109"/>
      <c r="E312" s="109"/>
      <c r="F312" s="109"/>
      <c r="G312" s="109"/>
      <c r="H312" s="109"/>
      <c r="I312" s="109"/>
      <c r="J312" s="75">
        <f t="shared" si="46"/>
        <v>0</v>
      </c>
      <c r="K312" s="75">
        <f t="shared" si="47"/>
        <v>0</v>
      </c>
      <c r="L312" s="109"/>
      <c r="M312" s="110"/>
    </row>
    <row r="313" spans="1:13" ht="13.5">
      <c r="A313" s="777">
        <f t="shared" si="44"/>
        <v>0</v>
      </c>
      <c r="B313" s="964"/>
      <c r="C313" s="400"/>
      <c r="D313" s="109"/>
      <c r="E313" s="109"/>
      <c r="F313" s="109"/>
      <c r="G313" s="109"/>
      <c r="H313" s="109"/>
      <c r="I313" s="109"/>
      <c r="J313" s="75">
        <f t="shared" si="46"/>
        <v>0</v>
      </c>
      <c r="K313" s="75">
        <f t="shared" si="47"/>
        <v>0</v>
      </c>
      <c r="L313" s="109"/>
      <c r="M313" s="110"/>
    </row>
    <row r="314" spans="1:13" ht="13.5">
      <c r="A314" s="777">
        <f t="shared" si="44"/>
        <v>0</v>
      </c>
      <c r="B314" s="964"/>
      <c r="C314" s="400"/>
      <c r="D314" s="109"/>
      <c r="E314" s="109"/>
      <c r="F314" s="109"/>
      <c r="G314" s="109"/>
      <c r="H314" s="109"/>
      <c r="I314" s="109"/>
      <c r="J314" s="75">
        <f t="shared" si="46"/>
        <v>0</v>
      </c>
      <c r="K314" s="75">
        <f t="shared" si="47"/>
        <v>0</v>
      </c>
      <c r="L314" s="109"/>
      <c r="M314" s="110"/>
    </row>
    <row r="315" spans="1:13" ht="13.5">
      <c r="A315" s="777">
        <f t="shared" si="44"/>
        <v>0</v>
      </c>
      <c r="B315" s="964"/>
      <c r="C315" s="400"/>
      <c r="D315" s="109"/>
      <c r="E315" s="109"/>
      <c r="F315" s="109"/>
      <c r="G315" s="109"/>
      <c r="H315" s="109"/>
      <c r="I315" s="109"/>
      <c r="J315" s="75">
        <f t="shared" si="46"/>
        <v>0</v>
      </c>
      <c r="K315" s="75">
        <f t="shared" si="47"/>
        <v>0</v>
      </c>
      <c r="L315" s="109"/>
      <c r="M315" s="110"/>
    </row>
    <row r="316" spans="1:13" ht="13.5">
      <c r="A316" s="777">
        <f t="shared" si="44"/>
        <v>0</v>
      </c>
      <c r="B316" s="964"/>
      <c r="C316" s="400"/>
      <c r="D316" s="109"/>
      <c r="E316" s="109"/>
      <c r="F316" s="109"/>
      <c r="G316" s="109"/>
      <c r="H316" s="109"/>
      <c r="I316" s="109"/>
      <c r="J316" s="75">
        <f t="shared" si="46"/>
        <v>0</v>
      </c>
      <c r="K316" s="75">
        <f t="shared" si="47"/>
        <v>0</v>
      </c>
      <c r="L316" s="109"/>
      <c r="M316" s="110"/>
    </row>
    <row r="317" spans="1:13" ht="13.5">
      <c r="A317" s="777">
        <f t="shared" si="44"/>
        <v>0</v>
      </c>
      <c r="B317" s="964"/>
      <c r="C317" s="400"/>
      <c r="D317" s="109"/>
      <c r="E317" s="109"/>
      <c r="F317" s="109"/>
      <c r="G317" s="109"/>
      <c r="H317" s="109"/>
      <c r="I317" s="109"/>
      <c r="J317" s="75">
        <f t="shared" si="46"/>
        <v>0</v>
      </c>
      <c r="K317" s="75">
        <f t="shared" si="47"/>
        <v>0</v>
      </c>
      <c r="L317" s="109"/>
      <c r="M317" s="110"/>
    </row>
    <row r="318" spans="1:13" ht="13.5">
      <c r="A318" s="774" t="str">
        <f t="shared" si="44"/>
        <v>Vote 14 - [NAME OF VOTE 14]</v>
      </c>
      <c r="B318" s="964"/>
      <c r="C318" s="761">
        <f t="shared" ref="C318:I318" si="49">SUM(C319:C328)</f>
        <v>0</v>
      </c>
      <c r="D318" s="760">
        <f t="shared" si="49"/>
        <v>0</v>
      </c>
      <c r="E318" s="760">
        <f t="shared" si="49"/>
        <v>0</v>
      </c>
      <c r="F318" s="760">
        <f t="shared" si="49"/>
        <v>0</v>
      </c>
      <c r="G318" s="760">
        <f t="shared" si="49"/>
        <v>0</v>
      </c>
      <c r="H318" s="760">
        <f t="shared" si="49"/>
        <v>0</v>
      </c>
      <c r="I318" s="760">
        <f t="shared" si="49"/>
        <v>0</v>
      </c>
      <c r="J318" s="75">
        <f t="shared" si="46"/>
        <v>0</v>
      </c>
      <c r="K318" s="75">
        <f t="shared" si="47"/>
        <v>0</v>
      </c>
      <c r="L318" s="760">
        <f>SUM(L319:L328)</f>
        <v>0</v>
      </c>
      <c r="M318" s="788">
        <f>SUM(M319:M328)</f>
        <v>0</v>
      </c>
    </row>
    <row r="319" spans="1:13" ht="13.5">
      <c r="A319" s="777" t="str">
        <f t="shared" si="44"/>
        <v>14.1 - [Name of sub-vote]</v>
      </c>
      <c r="B319" s="964"/>
      <c r="C319" s="400"/>
      <c r="D319" s="109"/>
      <c r="E319" s="109"/>
      <c r="F319" s="109"/>
      <c r="G319" s="109"/>
      <c r="H319" s="109"/>
      <c r="I319" s="109"/>
      <c r="J319" s="75">
        <f t="shared" si="46"/>
        <v>0</v>
      </c>
      <c r="K319" s="75">
        <f t="shared" si="47"/>
        <v>0</v>
      </c>
      <c r="L319" s="109"/>
      <c r="M319" s="110"/>
    </row>
    <row r="320" spans="1:13" ht="13.5">
      <c r="A320" s="777">
        <f t="shared" si="44"/>
        <v>0</v>
      </c>
      <c r="B320" s="964"/>
      <c r="C320" s="400"/>
      <c r="D320" s="109"/>
      <c r="E320" s="109"/>
      <c r="F320" s="109"/>
      <c r="G320" s="109"/>
      <c r="H320" s="109"/>
      <c r="I320" s="109"/>
      <c r="J320" s="75">
        <f t="shared" si="46"/>
        <v>0</v>
      </c>
      <c r="K320" s="75">
        <f t="shared" si="47"/>
        <v>0</v>
      </c>
      <c r="L320" s="109"/>
      <c r="M320" s="110"/>
    </row>
    <row r="321" spans="1:13" ht="13.5">
      <c r="A321" s="777">
        <f t="shared" si="44"/>
        <v>0</v>
      </c>
      <c r="B321" s="964"/>
      <c r="C321" s="400"/>
      <c r="D321" s="109"/>
      <c r="E321" s="109"/>
      <c r="F321" s="109"/>
      <c r="G321" s="109"/>
      <c r="H321" s="109"/>
      <c r="I321" s="109"/>
      <c r="J321" s="75">
        <f t="shared" si="46"/>
        <v>0</v>
      </c>
      <c r="K321" s="75">
        <f t="shared" si="47"/>
        <v>0</v>
      </c>
      <c r="L321" s="109"/>
      <c r="M321" s="110"/>
    </row>
    <row r="322" spans="1:13" ht="13.5">
      <c r="A322" s="777">
        <f t="shared" si="44"/>
        <v>0</v>
      </c>
      <c r="B322" s="964"/>
      <c r="C322" s="400"/>
      <c r="D322" s="109"/>
      <c r="E322" s="109"/>
      <c r="F322" s="109"/>
      <c r="G322" s="109"/>
      <c r="H322" s="109"/>
      <c r="I322" s="109"/>
      <c r="J322" s="75">
        <f t="shared" si="46"/>
        <v>0</v>
      </c>
      <c r="K322" s="75">
        <f t="shared" si="47"/>
        <v>0</v>
      </c>
      <c r="L322" s="109"/>
      <c r="M322" s="110"/>
    </row>
    <row r="323" spans="1:13" ht="13.5">
      <c r="A323" s="777">
        <f t="shared" si="44"/>
        <v>0</v>
      </c>
      <c r="B323" s="964"/>
      <c r="C323" s="400"/>
      <c r="D323" s="109"/>
      <c r="E323" s="109"/>
      <c r="F323" s="109"/>
      <c r="G323" s="109"/>
      <c r="H323" s="109"/>
      <c r="I323" s="109"/>
      <c r="J323" s="75">
        <f t="shared" si="46"/>
        <v>0</v>
      </c>
      <c r="K323" s="75">
        <f t="shared" si="47"/>
        <v>0</v>
      </c>
      <c r="L323" s="109"/>
      <c r="M323" s="110"/>
    </row>
    <row r="324" spans="1:13" ht="13.5">
      <c r="A324" s="777">
        <f t="shared" si="44"/>
        <v>0</v>
      </c>
      <c r="B324" s="964"/>
      <c r="C324" s="400"/>
      <c r="D324" s="109"/>
      <c r="E324" s="109"/>
      <c r="F324" s="109"/>
      <c r="G324" s="109"/>
      <c r="H324" s="109"/>
      <c r="I324" s="109"/>
      <c r="J324" s="75">
        <f t="shared" si="46"/>
        <v>0</v>
      </c>
      <c r="K324" s="75">
        <f t="shared" si="47"/>
        <v>0</v>
      </c>
      <c r="L324" s="109"/>
      <c r="M324" s="110"/>
    </row>
    <row r="325" spans="1:13" ht="13.5">
      <c r="A325" s="777">
        <f t="shared" si="44"/>
        <v>0</v>
      </c>
      <c r="B325" s="964"/>
      <c r="C325" s="400"/>
      <c r="D325" s="109"/>
      <c r="E325" s="109"/>
      <c r="F325" s="109"/>
      <c r="G325" s="109"/>
      <c r="H325" s="109"/>
      <c r="I325" s="109"/>
      <c r="J325" s="75">
        <f t="shared" si="46"/>
        <v>0</v>
      </c>
      <c r="K325" s="75">
        <f t="shared" si="47"/>
        <v>0</v>
      </c>
      <c r="L325" s="109"/>
      <c r="M325" s="110"/>
    </row>
    <row r="326" spans="1:13" ht="13.5">
      <c r="A326" s="777">
        <f t="shared" si="44"/>
        <v>0</v>
      </c>
      <c r="B326" s="964"/>
      <c r="C326" s="400"/>
      <c r="D326" s="109"/>
      <c r="E326" s="109"/>
      <c r="F326" s="109"/>
      <c r="G326" s="109"/>
      <c r="H326" s="109"/>
      <c r="I326" s="109"/>
      <c r="J326" s="75">
        <f t="shared" si="46"/>
        <v>0</v>
      </c>
      <c r="K326" s="75">
        <f t="shared" si="47"/>
        <v>0</v>
      </c>
      <c r="L326" s="109"/>
      <c r="M326" s="110"/>
    </row>
    <row r="327" spans="1:13" ht="13.5">
      <c r="A327" s="777">
        <f t="shared" si="44"/>
        <v>0</v>
      </c>
      <c r="B327" s="964"/>
      <c r="C327" s="400"/>
      <c r="D327" s="109"/>
      <c r="E327" s="109"/>
      <c r="F327" s="109"/>
      <c r="G327" s="109"/>
      <c r="H327" s="109"/>
      <c r="I327" s="109"/>
      <c r="J327" s="75">
        <f t="shared" si="46"/>
        <v>0</v>
      </c>
      <c r="K327" s="75">
        <f t="shared" si="47"/>
        <v>0</v>
      </c>
      <c r="L327" s="109"/>
      <c r="M327" s="110"/>
    </row>
    <row r="328" spans="1:13" ht="13.5">
      <c r="A328" s="777">
        <f t="shared" si="44"/>
        <v>0</v>
      </c>
      <c r="B328" s="964"/>
      <c r="C328" s="400"/>
      <c r="D328" s="109"/>
      <c r="E328" s="109"/>
      <c r="F328" s="109"/>
      <c r="G328" s="109"/>
      <c r="H328" s="109"/>
      <c r="I328" s="109"/>
      <c r="J328" s="75">
        <f t="shared" si="46"/>
        <v>0</v>
      </c>
      <c r="K328" s="75">
        <f t="shared" si="47"/>
        <v>0</v>
      </c>
      <c r="L328" s="109"/>
      <c r="M328" s="110"/>
    </row>
    <row r="329" spans="1:13" ht="13.5">
      <c r="A329" s="774" t="str">
        <f t="shared" si="44"/>
        <v>Vote 15 - [NAME OF VOTE 15]</v>
      </c>
      <c r="B329" s="964"/>
      <c r="C329" s="761">
        <f t="shared" ref="C329:I329" si="50">SUM(C330:C339)</f>
        <v>0</v>
      </c>
      <c r="D329" s="760">
        <f t="shared" si="50"/>
        <v>0</v>
      </c>
      <c r="E329" s="760">
        <f t="shared" si="50"/>
        <v>0</v>
      </c>
      <c r="F329" s="760">
        <f t="shared" si="50"/>
        <v>0</v>
      </c>
      <c r="G329" s="760">
        <f t="shared" si="50"/>
        <v>0</v>
      </c>
      <c r="H329" s="760">
        <f t="shared" si="50"/>
        <v>0</v>
      </c>
      <c r="I329" s="760">
        <f t="shared" si="50"/>
        <v>0</v>
      </c>
      <c r="J329" s="75">
        <f t="shared" si="46"/>
        <v>0</v>
      </c>
      <c r="K329" s="75">
        <f t="shared" si="47"/>
        <v>0</v>
      </c>
      <c r="L329" s="760">
        <f>SUM(L330:L339)</f>
        <v>0</v>
      </c>
      <c r="M329" s="788">
        <f>SUM(M330:M339)</f>
        <v>0</v>
      </c>
    </row>
    <row r="330" spans="1:13" ht="13.5">
      <c r="A330" s="777" t="str">
        <f t="shared" si="44"/>
        <v>15.1 - [Name of sub-vote]</v>
      </c>
      <c r="B330" s="964"/>
      <c r="C330" s="400"/>
      <c r="D330" s="109"/>
      <c r="E330" s="109"/>
      <c r="F330" s="109"/>
      <c r="G330" s="109"/>
      <c r="H330" s="109"/>
      <c r="I330" s="109"/>
      <c r="J330" s="75">
        <f t="shared" si="46"/>
        <v>0</v>
      </c>
      <c r="K330" s="75">
        <f t="shared" si="47"/>
        <v>0</v>
      </c>
      <c r="L330" s="109"/>
      <c r="M330" s="110"/>
    </row>
    <row r="331" spans="1:13" ht="13.5">
      <c r="A331" s="777">
        <f t="shared" si="44"/>
        <v>0</v>
      </c>
      <c r="B331" s="964"/>
      <c r="C331" s="400"/>
      <c r="D331" s="109"/>
      <c r="E331" s="109"/>
      <c r="F331" s="109"/>
      <c r="G331" s="109"/>
      <c r="H331" s="109"/>
      <c r="I331" s="109"/>
      <c r="J331" s="75">
        <f t="shared" si="46"/>
        <v>0</v>
      </c>
      <c r="K331" s="75">
        <f t="shared" si="47"/>
        <v>0</v>
      </c>
      <c r="L331" s="109"/>
      <c r="M331" s="110"/>
    </row>
    <row r="332" spans="1:13" ht="13.5">
      <c r="A332" s="777">
        <f t="shared" si="44"/>
        <v>0</v>
      </c>
      <c r="B332" s="964"/>
      <c r="C332" s="400"/>
      <c r="D332" s="109"/>
      <c r="E332" s="109"/>
      <c r="F332" s="109"/>
      <c r="G332" s="109"/>
      <c r="H332" s="109"/>
      <c r="I332" s="109"/>
      <c r="J332" s="75">
        <f t="shared" si="46"/>
        <v>0</v>
      </c>
      <c r="K332" s="75">
        <f t="shared" si="47"/>
        <v>0</v>
      </c>
      <c r="L332" s="109"/>
      <c r="M332" s="110"/>
    </row>
    <row r="333" spans="1:13" ht="13.5">
      <c r="A333" s="777">
        <f t="shared" si="44"/>
        <v>0</v>
      </c>
      <c r="B333" s="964"/>
      <c r="C333" s="400"/>
      <c r="D333" s="109"/>
      <c r="E333" s="109"/>
      <c r="F333" s="109"/>
      <c r="G333" s="109"/>
      <c r="H333" s="109"/>
      <c r="I333" s="109"/>
      <c r="J333" s="75">
        <f t="shared" si="46"/>
        <v>0</v>
      </c>
      <c r="K333" s="75">
        <f t="shared" si="47"/>
        <v>0</v>
      </c>
      <c r="L333" s="109"/>
      <c r="M333" s="110"/>
    </row>
    <row r="334" spans="1:13" ht="13.5">
      <c r="A334" s="777">
        <f t="shared" si="44"/>
        <v>0</v>
      </c>
      <c r="B334" s="964"/>
      <c r="C334" s="400"/>
      <c r="D334" s="109"/>
      <c r="E334" s="109"/>
      <c r="F334" s="109"/>
      <c r="G334" s="109"/>
      <c r="H334" s="109"/>
      <c r="I334" s="109"/>
      <c r="J334" s="75">
        <f t="shared" si="46"/>
        <v>0</v>
      </c>
      <c r="K334" s="75">
        <f t="shared" si="47"/>
        <v>0</v>
      </c>
      <c r="L334" s="109"/>
      <c r="M334" s="110"/>
    </row>
    <row r="335" spans="1:13" ht="13.5">
      <c r="A335" s="777">
        <f t="shared" si="44"/>
        <v>0</v>
      </c>
      <c r="B335" s="964"/>
      <c r="C335" s="400"/>
      <c r="D335" s="109"/>
      <c r="E335" s="109"/>
      <c r="F335" s="109"/>
      <c r="G335" s="109"/>
      <c r="H335" s="109"/>
      <c r="I335" s="109"/>
      <c r="J335" s="75">
        <f t="shared" si="46"/>
        <v>0</v>
      </c>
      <c r="K335" s="75">
        <f t="shared" si="47"/>
        <v>0</v>
      </c>
      <c r="L335" s="109"/>
      <c r="M335" s="110"/>
    </row>
    <row r="336" spans="1:13" ht="13.5">
      <c r="A336" s="777">
        <f t="shared" si="44"/>
        <v>0</v>
      </c>
      <c r="B336" s="964"/>
      <c r="C336" s="400"/>
      <c r="D336" s="109"/>
      <c r="E336" s="109"/>
      <c r="F336" s="109"/>
      <c r="G336" s="109"/>
      <c r="H336" s="109"/>
      <c r="I336" s="109"/>
      <c r="J336" s="75">
        <f t="shared" si="46"/>
        <v>0</v>
      </c>
      <c r="K336" s="75">
        <f t="shared" si="47"/>
        <v>0</v>
      </c>
      <c r="L336" s="109"/>
      <c r="M336" s="110"/>
    </row>
    <row r="337" spans="1:13" ht="13.5">
      <c r="A337" s="777">
        <f t="shared" si="44"/>
        <v>0</v>
      </c>
      <c r="B337" s="964"/>
      <c r="C337" s="400"/>
      <c r="D337" s="109"/>
      <c r="E337" s="109"/>
      <c r="F337" s="109"/>
      <c r="G337" s="109"/>
      <c r="H337" s="109"/>
      <c r="I337" s="109"/>
      <c r="J337" s="75">
        <f t="shared" si="46"/>
        <v>0</v>
      </c>
      <c r="K337" s="75">
        <f t="shared" si="47"/>
        <v>0</v>
      </c>
      <c r="L337" s="109"/>
      <c r="M337" s="110"/>
    </row>
    <row r="338" spans="1:13" ht="13.5">
      <c r="A338" s="777">
        <f t="shared" si="44"/>
        <v>0</v>
      </c>
      <c r="B338" s="964"/>
      <c r="C338" s="400"/>
      <c r="D338" s="109"/>
      <c r="E338" s="109"/>
      <c r="F338" s="109"/>
      <c r="G338" s="109"/>
      <c r="H338" s="109"/>
      <c r="I338" s="109"/>
      <c r="J338" s="75">
        <f t="shared" si="46"/>
        <v>0</v>
      </c>
      <c r="K338" s="75">
        <f t="shared" si="47"/>
        <v>0</v>
      </c>
      <c r="L338" s="109"/>
      <c r="M338" s="110"/>
    </row>
    <row r="339" spans="1:13" ht="13.5">
      <c r="A339" s="777">
        <f t="shared" si="44"/>
        <v>0</v>
      </c>
      <c r="B339" s="964"/>
      <c r="C339" s="400"/>
      <c r="D339" s="109"/>
      <c r="E339" s="109"/>
      <c r="F339" s="109"/>
      <c r="G339" s="109"/>
      <c r="H339" s="109"/>
      <c r="I339" s="109"/>
      <c r="J339" s="75">
        <f t="shared" si="46"/>
        <v>0</v>
      </c>
      <c r="K339" s="75">
        <f t="shared" si="47"/>
        <v>0</v>
      </c>
      <c r="L339" s="109"/>
      <c r="M339" s="110"/>
    </row>
    <row r="340" spans="1:13" ht="13.5">
      <c r="A340" s="778" t="s">
        <v>647</v>
      </c>
      <c r="B340" s="964">
        <v>2</v>
      </c>
      <c r="C340" s="304">
        <f>C175+C186+C197+C208+C219+C230+C241+C252+C263+C285+C296+C307+C318+C329+C274</f>
        <v>781353718</v>
      </c>
      <c r="D340" s="150">
        <f t="shared" ref="D340:I340" si="51">D175+D186+D197+D208+D219+D230+D241+D252+D263+D285+D296+D307+D318+D329+D274</f>
        <v>0</v>
      </c>
      <c r="E340" s="150">
        <f t="shared" si="51"/>
        <v>0</v>
      </c>
      <c r="F340" s="150">
        <f t="shared" si="51"/>
        <v>0</v>
      </c>
      <c r="G340" s="150">
        <f t="shared" si="51"/>
        <v>0</v>
      </c>
      <c r="H340" s="150">
        <f t="shared" si="51"/>
        <v>0</v>
      </c>
      <c r="I340" s="150">
        <f t="shared" si="51"/>
        <v>18171001</v>
      </c>
      <c r="J340" s="500">
        <f>SUM(E340:I340)</f>
        <v>18171001</v>
      </c>
      <c r="K340" s="500">
        <f>IF(D340=0,C340+J340,D340+J340)</f>
        <v>799524719</v>
      </c>
      <c r="L340" s="150">
        <f>L175+L186+L197+L208+L219+L230+L241+L252+L263+L285+L296+L307+L318+L329+L274</f>
        <v>839414422</v>
      </c>
      <c r="M340" s="151">
        <f>M175+M186+M197+M208+M219+M230+M241+M252+M263+M285+M296+M307+M318+M329+M274</f>
        <v>881658577</v>
      </c>
    </row>
    <row r="341" spans="1:13" ht="4.5" customHeight="1">
      <c r="A341" s="135"/>
      <c r="B341" s="964"/>
      <c r="C341" s="496"/>
      <c r="D341" s="140"/>
      <c r="E341" s="140"/>
      <c r="F341" s="140"/>
      <c r="G341" s="140"/>
      <c r="H341" s="140"/>
      <c r="I341" s="140"/>
      <c r="J341" s="140"/>
      <c r="K341" s="140"/>
      <c r="L341" s="140"/>
      <c r="M341" s="141"/>
    </row>
    <row r="342" spans="1:13" ht="13.5">
      <c r="A342" s="154" t="str">
        <f>result</f>
        <v>Surplus/ (Deficit) for the year</v>
      </c>
      <c r="B342" s="969">
        <v>2</v>
      </c>
      <c r="C342" s="715">
        <f t="shared" ref="C342:I342" si="52">C172-C340</f>
        <v>69707744</v>
      </c>
      <c r="D342" s="717">
        <f t="shared" si="52"/>
        <v>0</v>
      </c>
      <c r="E342" s="116">
        <f t="shared" si="52"/>
        <v>0</v>
      </c>
      <c r="F342" s="116">
        <f t="shared" si="52"/>
        <v>0</v>
      </c>
      <c r="G342" s="116">
        <f t="shared" si="52"/>
        <v>0</v>
      </c>
      <c r="H342" s="116">
        <f t="shared" si="52"/>
        <v>20350000</v>
      </c>
      <c r="I342" s="116">
        <f t="shared" si="52"/>
        <v>20576613</v>
      </c>
      <c r="J342" s="793">
        <f>SUM(E342:I342)</f>
        <v>40926613</v>
      </c>
      <c r="K342" s="793">
        <f>IF(D342=0,C342+J342,D342+J342)</f>
        <v>110634357</v>
      </c>
      <c r="L342" s="116">
        <f>L172-L340</f>
        <v>80775264</v>
      </c>
      <c r="M342" s="117">
        <f>M172-M340</f>
        <v>127519427</v>
      </c>
    </row>
    <row r="343" spans="1:13" ht="13.5">
      <c r="A343" s="218" t="str">
        <f>head27a</f>
        <v>References</v>
      </c>
      <c r="B343" s="779"/>
      <c r="C343" s="780"/>
      <c r="D343" s="781"/>
      <c r="E343" s="781"/>
      <c r="F343" s="781"/>
      <c r="G343" s="781"/>
      <c r="H343" s="781"/>
      <c r="I343" s="781"/>
      <c r="J343" s="781"/>
      <c r="K343" s="781"/>
    </row>
    <row r="344" spans="1:13" ht="13.5">
      <c r="A344" s="663" t="s">
        <v>1155</v>
      </c>
      <c r="B344" s="779"/>
      <c r="C344" s="782"/>
      <c r="D344" s="782"/>
      <c r="E344" s="783"/>
      <c r="F344" s="783"/>
      <c r="G344" s="783"/>
      <c r="H344" s="783"/>
      <c r="I344" s="783"/>
      <c r="J344" s="783"/>
      <c r="K344" s="783"/>
    </row>
    <row r="345" spans="1:13" ht="13.5">
      <c r="A345" s="657" t="s">
        <v>1156</v>
      </c>
      <c r="B345" s="779"/>
      <c r="C345" s="782"/>
      <c r="D345" s="782"/>
      <c r="E345" s="783"/>
      <c r="F345" s="783"/>
      <c r="G345" s="783"/>
      <c r="H345" s="783"/>
      <c r="I345" s="783"/>
      <c r="J345" s="783"/>
      <c r="K345" s="783"/>
    </row>
    <row r="346" spans="1:13" ht="13.5">
      <c r="A346" s="657" t="s">
        <v>1157</v>
      </c>
      <c r="B346" s="784"/>
      <c r="C346" s="785"/>
      <c r="D346" s="785"/>
      <c r="E346" s="786"/>
      <c r="F346" s="786"/>
      <c r="G346" s="786"/>
      <c r="H346" s="786"/>
      <c r="I346" s="786"/>
      <c r="J346" s="786"/>
      <c r="K346" s="786"/>
    </row>
  </sheetData>
  <mergeCells count="3">
    <mergeCell ref="A2:A3"/>
    <mergeCell ref="B2:B5"/>
    <mergeCell ref="C2:K2"/>
  </mergeCells>
  <phoneticPr fontId="17"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sheetPr codeName="Sheet84" enableFormatConditionsCalculation="0">
    <tabColor indexed="44"/>
    <pageSetUpPr fitToPage="1"/>
  </sheetPr>
  <dimension ref="A1:V102"/>
  <sheetViews>
    <sheetView showGridLines="0" workbookViewId="0">
      <pane xSplit="2" ySplit="5" topLeftCell="C36" activePane="bottomRight" state="frozen"/>
      <selection activeCell="M17" sqref="M17:M63"/>
      <selection pane="topRight" activeCell="M17" sqref="M17:M63"/>
      <selection pane="bottomLeft" activeCell="M17" sqref="M17:M63"/>
      <selection pane="bottomRight" activeCell="H63" sqref="H63"/>
    </sheetView>
  </sheetViews>
  <sheetFormatPr defaultRowHeight="12.7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c r="A1" s="57" t="str">
        <f>muni&amp;" - "&amp;_ADJ4&amp;" - "&amp;Date</f>
        <v>LIM333 Greater Tzaneen - Table B4 Consolidated Adjustments Budget Financial Performance (revenue and expenditure) - 26 FEBRUARY 2014</v>
      </c>
      <c r="B1" s="5"/>
      <c r="C1" s="58"/>
    </row>
    <row r="2" spans="1:22"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22"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323"/>
      <c r="B4" s="1323"/>
      <c r="C4" s="65"/>
      <c r="D4" s="15">
        <v>3</v>
      </c>
      <c r="E4" s="15">
        <v>4</v>
      </c>
      <c r="F4" s="15">
        <v>5</v>
      </c>
      <c r="G4" s="15">
        <v>6</v>
      </c>
      <c r="H4" s="15">
        <v>7</v>
      </c>
      <c r="I4" s="15">
        <v>8</v>
      </c>
      <c r="J4" s="15">
        <v>9</v>
      </c>
      <c r="K4" s="15">
        <v>10</v>
      </c>
      <c r="L4" s="15"/>
      <c r="M4" s="17"/>
    </row>
    <row r="5" spans="1:22">
      <c r="A5" s="18" t="s">
        <v>643</v>
      </c>
      <c r="B5" s="123">
        <v>1</v>
      </c>
      <c r="C5" s="124" t="s">
        <v>583</v>
      </c>
      <c r="D5" s="20" t="s">
        <v>584</v>
      </c>
      <c r="E5" s="20" t="s">
        <v>585</v>
      </c>
      <c r="F5" s="21" t="s">
        <v>586</v>
      </c>
      <c r="G5" s="21" t="s">
        <v>587</v>
      </c>
      <c r="H5" s="21" t="s">
        <v>588</v>
      </c>
      <c r="I5" s="22" t="s">
        <v>589</v>
      </c>
      <c r="J5" s="22" t="s">
        <v>590</v>
      </c>
      <c r="K5" s="22" t="s">
        <v>591</v>
      </c>
      <c r="L5" s="22"/>
      <c r="M5" s="24"/>
    </row>
    <row r="6" spans="1:22" ht="12.75" customHeight="1">
      <c r="A6" s="125" t="s">
        <v>684</v>
      </c>
      <c r="B6" s="73"/>
      <c r="C6" s="126"/>
      <c r="D6" s="75"/>
      <c r="E6" s="75"/>
      <c r="F6" s="75"/>
      <c r="G6" s="75"/>
      <c r="H6" s="75"/>
      <c r="I6" s="75"/>
      <c r="J6" s="75"/>
      <c r="K6" s="75"/>
      <c r="L6" s="75"/>
      <c r="M6" s="76"/>
      <c r="N6" s="127"/>
      <c r="O6" s="127"/>
      <c r="P6" s="127"/>
      <c r="Q6" s="127"/>
      <c r="R6" s="127"/>
      <c r="S6" s="127"/>
      <c r="T6" s="127"/>
      <c r="U6" s="127"/>
      <c r="V6" s="127"/>
    </row>
    <row r="7" spans="1:22" ht="12.75" customHeight="1">
      <c r="A7" s="128" t="s">
        <v>593</v>
      </c>
      <c r="B7" s="73">
        <v>2</v>
      </c>
      <c r="C7" s="130">
        <f>'SB1'!C10</f>
        <v>51460000</v>
      </c>
      <c r="D7" s="130">
        <f>'SB1'!D10</f>
        <v>0</v>
      </c>
      <c r="E7" s="130">
        <f>'SB1'!E10</f>
        <v>0</v>
      </c>
      <c r="F7" s="130">
        <f>'SB1'!F10</f>
        <v>0</v>
      </c>
      <c r="G7" s="130">
        <f>'SB1'!G10</f>
        <v>0</v>
      </c>
      <c r="H7" s="130">
        <f>'SB1'!H10</f>
        <v>0</v>
      </c>
      <c r="I7" s="130">
        <f>'SB1'!I10</f>
        <v>0</v>
      </c>
      <c r="J7" s="171">
        <f t="shared" ref="J7:J23" si="0">SUM(E7:I7)</f>
        <v>0</v>
      </c>
      <c r="K7" s="171">
        <f t="shared" ref="K7:K23" si="1">IF(D7=0,C7+J7,D7+J7)</f>
        <v>51460000</v>
      </c>
      <c r="L7" s="130">
        <f>'SB1'!L10</f>
        <v>53981540</v>
      </c>
      <c r="M7" s="132">
        <f>'SB1'!M10</f>
        <v>56626635</v>
      </c>
      <c r="N7" s="127"/>
      <c r="O7" s="127"/>
      <c r="P7" s="127"/>
      <c r="Q7" s="127"/>
      <c r="R7" s="127"/>
      <c r="S7" s="127"/>
      <c r="T7" s="127"/>
      <c r="U7" s="127"/>
      <c r="V7" s="127"/>
    </row>
    <row r="8" spans="1:22" ht="12.75" customHeight="1">
      <c r="A8" s="128" t="s">
        <v>685</v>
      </c>
      <c r="B8" s="73"/>
      <c r="C8" s="129">
        <v>3900000</v>
      </c>
      <c r="D8" s="129"/>
      <c r="E8" s="129"/>
      <c r="F8" s="129"/>
      <c r="G8" s="129"/>
      <c r="H8" s="129"/>
      <c r="I8" s="129"/>
      <c r="J8" s="75">
        <f t="shared" si="0"/>
        <v>0</v>
      </c>
      <c r="K8" s="75">
        <f t="shared" si="1"/>
        <v>3900000</v>
      </c>
      <c r="L8" s="129">
        <v>4091100</v>
      </c>
      <c r="M8" s="129">
        <v>4291564</v>
      </c>
      <c r="N8" s="127"/>
      <c r="O8" s="127"/>
      <c r="P8" s="127"/>
      <c r="Q8" s="127"/>
      <c r="R8" s="127"/>
      <c r="S8" s="127"/>
      <c r="T8" s="127"/>
      <c r="U8" s="127"/>
      <c r="V8" s="127"/>
    </row>
    <row r="9" spans="1:22" ht="12.75" customHeight="1">
      <c r="A9" s="128" t="s">
        <v>686</v>
      </c>
      <c r="B9" s="73">
        <v>2</v>
      </c>
      <c r="C9" s="130">
        <f>'SB1'!C15</f>
        <v>379524484</v>
      </c>
      <c r="D9" s="130">
        <f>'SB1'!D15</f>
        <v>0</v>
      </c>
      <c r="E9" s="130">
        <f>'SB1'!E15</f>
        <v>0</v>
      </c>
      <c r="F9" s="130">
        <f>'SB1'!F15</f>
        <v>0</v>
      </c>
      <c r="G9" s="130">
        <f>'SB1'!G15</f>
        <v>0</v>
      </c>
      <c r="H9" s="130">
        <f>'SB1'!H15</f>
        <v>0</v>
      </c>
      <c r="I9" s="130">
        <f>'SB1'!I15</f>
        <v>0</v>
      </c>
      <c r="J9" s="171">
        <f t="shared" si="0"/>
        <v>0</v>
      </c>
      <c r="K9" s="171">
        <f t="shared" si="1"/>
        <v>379524484</v>
      </c>
      <c r="L9" s="130">
        <f>'SB1'!L15</f>
        <v>398121183.69999999</v>
      </c>
      <c r="M9" s="132">
        <f>'SB1'!M15</f>
        <v>417629121.69999999</v>
      </c>
      <c r="N9" s="127"/>
      <c r="O9" s="127"/>
      <c r="P9" s="127"/>
      <c r="Q9" s="127"/>
      <c r="R9" s="127"/>
      <c r="S9" s="127"/>
      <c r="T9" s="127"/>
      <c r="U9" s="127"/>
      <c r="V9" s="127"/>
    </row>
    <row r="10" spans="1:22" ht="12.75" customHeight="1">
      <c r="A10" s="128" t="s">
        <v>687</v>
      </c>
      <c r="B10" s="73">
        <v>2</v>
      </c>
      <c r="C10" s="130">
        <f>'SB1'!C20</f>
        <v>0</v>
      </c>
      <c r="D10" s="130">
        <f>'SB1'!D20</f>
        <v>0</v>
      </c>
      <c r="E10" s="130">
        <f>'SB1'!E20</f>
        <v>0</v>
      </c>
      <c r="F10" s="130">
        <f>'SB1'!F20</f>
        <v>0</v>
      </c>
      <c r="G10" s="130">
        <f>'SB1'!G20</f>
        <v>0</v>
      </c>
      <c r="H10" s="130">
        <f>'SB1'!H20</f>
        <v>0</v>
      </c>
      <c r="I10" s="130">
        <f>'SB1'!I20</f>
        <v>0</v>
      </c>
      <c r="J10" s="171">
        <f t="shared" si="0"/>
        <v>0</v>
      </c>
      <c r="K10" s="171">
        <f t="shared" si="1"/>
        <v>0</v>
      </c>
      <c r="L10" s="130">
        <f>'SB1'!L20</f>
        <v>0</v>
      </c>
      <c r="M10" s="132">
        <f>'SB1'!M20</f>
        <v>0</v>
      </c>
      <c r="N10" s="127"/>
      <c r="O10" s="127"/>
      <c r="P10" s="127"/>
      <c r="Q10" s="127"/>
      <c r="R10" s="127"/>
      <c r="S10" s="127"/>
      <c r="T10" s="127"/>
      <c r="U10" s="127"/>
      <c r="V10" s="127"/>
    </row>
    <row r="11" spans="1:22" ht="12.75" customHeight="1">
      <c r="A11" s="128" t="s">
        <v>688</v>
      </c>
      <c r="B11" s="73">
        <v>2</v>
      </c>
      <c r="C11" s="130">
        <f>'SB1'!C25</f>
        <v>0</v>
      </c>
      <c r="D11" s="130">
        <f>'SB1'!D25</f>
        <v>0</v>
      </c>
      <c r="E11" s="130">
        <f>'SB1'!E25</f>
        <v>0</v>
      </c>
      <c r="F11" s="130">
        <f>'SB1'!F25</f>
        <v>0</v>
      </c>
      <c r="G11" s="130">
        <f>'SB1'!G25</f>
        <v>0</v>
      </c>
      <c r="H11" s="130">
        <f>'SB1'!H25</f>
        <v>0</v>
      </c>
      <c r="I11" s="130">
        <f>'SB1'!I25</f>
        <v>0</v>
      </c>
      <c r="J11" s="171">
        <f t="shared" si="0"/>
        <v>0</v>
      </c>
      <c r="K11" s="171">
        <f t="shared" si="1"/>
        <v>0</v>
      </c>
      <c r="L11" s="130">
        <f>'SB1'!L25</f>
        <v>0</v>
      </c>
      <c r="M11" s="132">
        <f>'SB1'!M25</f>
        <v>0</v>
      </c>
      <c r="N11" s="127"/>
      <c r="O11" s="127"/>
      <c r="P11" s="127"/>
      <c r="Q11" s="127"/>
      <c r="R11" s="127"/>
      <c r="S11" s="127"/>
      <c r="T11" s="127"/>
      <c r="U11" s="127"/>
      <c r="V11" s="127"/>
    </row>
    <row r="12" spans="1:22" ht="12.75" customHeight="1">
      <c r="A12" s="128" t="s">
        <v>1309</v>
      </c>
      <c r="B12" s="73">
        <v>2</v>
      </c>
      <c r="C12" s="130">
        <f>'SB1'!C31</f>
        <v>20885449</v>
      </c>
      <c r="D12" s="131">
        <f>'SB1'!D31</f>
        <v>0</v>
      </c>
      <c r="E12" s="131">
        <f>'SB1'!E31</f>
        <v>0</v>
      </c>
      <c r="F12" s="131">
        <f>'SB1'!F31</f>
        <v>0</v>
      </c>
      <c r="G12" s="131">
        <f>'SB1'!G31</f>
        <v>0</v>
      </c>
      <c r="H12" s="131">
        <f>'SB1'!H31</f>
        <v>0</v>
      </c>
      <c r="I12" s="131">
        <f>'SB1'!I31</f>
        <v>0</v>
      </c>
      <c r="J12" s="75">
        <f t="shared" si="0"/>
        <v>0</v>
      </c>
      <c r="K12" s="75">
        <f t="shared" si="1"/>
        <v>20885449</v>
      </c>
      <c r="L12" s="131">
        <f>'SB1'!L31</f>
        <v>21908836</v>
      </c>
      <c r="M12" s="132">
        <f>'SB1'!M31</f>
        <v>22982368.469999999</v>
      </c>
      <c r="N12" s="127"/>
      <c r="O12" s="127"/>
      <c r="P12" s="127"/>
      <c r="Q12" s="127"/>
      <c r="R12" s="127"/>
      <c r="S12" s="127"/>
      <c r="T12" s="127"/>
      <c r="U12" s="127"/>
      <c r="V12" s="127"/>
    </row>
    <row r="13" spans="1:22" ht="12.75" customHeight="1">
      <c r="A13" s="128" t="s">
        <v>689</v>
      </c>
      <c r="B13" s="73"/>
      <c r="C13" s="129">
        <v>1365840</v>
      </c>
      <c r="D13" s="109"/>
      <c r="E13" s="109"/>
      <c r="F13" s="109"/>
      <c r="G13" s="109"/>
      <c r="H13" s="109"/>
      <c r="I13" s="109"/>
      <c r="J13" s="75">
        <f t="shared" si="0"/>
        <v>0</v>
      </c>
      <c r="K13" s="75">
        <f t="shared" si="1"/>
        <v>1365840</v>
      </c>
      <c r="L13" s="109">
        <v>1432766</v>
      </c>
      <c r="M13" s="109">
        <v>1502972</v>
      </c>
      <c r="N13" s="127"/>
      <c r="O13" s="127"/>
      <c r="P13" s="127"/>
      <c r="Q13" s="127"/>
      <c r="R13" s="127"/>
      <c r="S13" s="127"/>
      <c r="T13" s="127"/>
      <c r="U13" s="133"/>
      <c r="V13" s="127"/>
    </row>
    <row r="14" spans="1:22" ht="12.75" customHeight="1">
      <c r="A14" s="128" t="s">
        <v>690</v>
      </c>
      <c r="B14" s="73"/>
      <c r="C14" s="129">
        <v>259100</v>
      </c>
      <c r="D14" s="109"/>
      <c r="E14" s="109"/>
      <c r="F14" s="109"/>
      <c r="G14" s="109"/>
      <c r="H14" s="109"/>
      <c r="I14" s="109"/>
      <c r="J14" s="75">
        <f t="shared" si="0"/>
        <v>0</v>
      </c>
      <c r="K14" s="75">
        <f t="shared" si="1"/>
        <v>259100</v>
      </c>
      <c r="L14" s="109">
        <v>271796</v>
      </c>
      <c r="M14" s="109">
        <v>285114</v>
      </c>
      <c r="N14" s="127"/>
      <c r="O14" s="127"/>
      <c r="P14" s="127"/>
      <c r="Q14" s="127"/>
      <c r="R14" s="127"/>
      <c r="S14" s="127"/>
      <c r="T14" s="127"/>
      <c r="U14" s="127"/>
      <c r="V14" s="127"/>
    </row>
    <row r="15" spans="1:22" ht="12.75" customHeight="1">
      <c r="A15" s="128" t="s">
        <v>691</v>
      </c>
      <c r="B15" s="73"/>
      <c r="C15" s="129">
        <v>3001000</v>
      </c>
      <c r="D15" s="109"/>
      <c r="E15" s="109"/>
      <c r="F15" s="109"/>
      <c r="G15" s="109"/>
      <c r="H15" s="109"/>
      <c r="I15" s="109"/>
      <c r="J15" s="75">
        <f t="shared" si="0"/>
        <v>0</v>
      </c>
      <c r="K15" s="75">
        <f t="shared" si="1"/>
        <v>3001000</v>
      </c>
      <c r="L15" s="109">
        <v>3148049</v>
      </c>
      <c r="M15" s="109">
        <v>3302303</v>
      </c>
      <c r="N15" s="127"/>
      <c r="O15" s="127"/>
      <c r="P15" s="127"/>
      <c r="Q15" s="127"/>
      <c r="R15" s="127"/>
      <c r="S15" s="127"/>
      <c r="T15" s="127"/>
      <c r="U15" s="127"/>
      <c r="V15" s="127"/>
    </row>
    <row r="16" spans="1:22" ht="12.75" customHeight="1">
      <c r="A16" s="128" t="s">
        <v>692</v>
      </c>
      <c r="B16" s="73"/>
      <c r="C16" s="129">
        <v>16000000</v>
      </c>
      <c r="D16" s="109"/>
      <c r="E16" s="109"/>
      <c r="F16" s="109"/>
      <c r="G16" s="109"/>
      <c r="H16" s="109"/>
      <c r="I16" s="109"/>
      <c r="J16" s="75">
        <f t="shared" si="0"/>
        <v>0</v>
      </c>
      <c r="K16" s="75">
        <f t="shared" si="1"/>
        <v>16000000</v>
      </c>
      <c r="L16" s="109">
        <v>16784000</v>
      </c>
      <c r="M16" s="109">
        <v>17606416</v>
      </c>
      <c r="N16" s="127"/>
      <c r="O16" s="127"/>
      <c r="P16" s="127"/>
      <c r="Q16" s="127"/>
      <c r="R16" s="127"/>
      <c r="S16" s="127"/>
      <c r="T16" s="127"/>
      <c r="U16" s="127"/>
      <c r="V16" s="127"/>
    </row>
    <row r="17" spans="1:22" ht="12.75" customHeight="1">
      <c r="A17" s="128" t="s">
        <v>693</v>
      </c>
      <c r="B17" s="73"/>
      <c r="C17" s="129"/>
      <c r="D17" s="109"/>
      <c r="E17" s="109"/>
      <c r="F17" s="109"/>
      <c r="G17" s="109"/>
      <c r="H17" s="109"/>
      <c r="I17" s="109"/>
      <c r="J17" s="75">
        <f t="shared" si="0"/>
        <v>0</v>
      </c>
      <c r="K17" s="75">
        <f t="shared" si="1"/>
        <v>0</v>
      </c>
      <c r="L17" s="109"/>
      <c r="M17" s="109"/>
      <c r="N17" s="127"/>
      <c r="O17" s="127"/>
      <c r="P17" s="127"/>
      <c r="Q17" s="127"/>
      <c r="R17" s="127"/>
      <c r="S17" s="127"/>
      <c r="T17" s="127"/>
      <c r="U17" s="127"/>
      <c r="V17" s="127"/>
    </row>
    <row r="18" spans="1:22" ht="12.75" customHeight="1">
      <c r="A18" s="128" t="s">
        <v>694</v>
      </c>
      <c r="B18" s="73"/>
      <c r="C18" s="129">
        <v>3210136</v>
      </c>
      <c r="D18" s="109"/>
      <c r="E18" s="109"/>
      <c r="F18" s="109"/>
      <c r="G18" s="109"/>
      <c r="H18" s="109"/>
      <c r="I18" s="109"/>
      <c r="J18" s="75">
        <f t="shared" si="0"/>
        <v>0</v>
      </c>
      <c r="K18" s="75">
        <f t="shared" si="1"/>
        <v>3210136</v>
      </c>
      <c r="L18" s="109">
        <v>3367433</v>
      </c>
      <c r="M18" s="109">
        <v>3532437</v>
      </c>
      <c r="N18" s="127"/>
      <c r="O18" s="127"/>
      <c r="P18" s="127"/>
      <c r="Q18" s="127"/>
      <c r="R18" s="127"/>
      <c r="S18" s="127"/>
      <c r="T18" s="127"/>
      <c r="U18" s="127"/>
      <c r="V18" s="127"/>
    </row>
    <row r="19" spans="1:22" ht="12.75" customHeight="1">
      <c r="A19" s="128" t="s">
        <v>695</v>
      </c>
      <c r="B19" s="73"/>
      <c r="C19" s="129">
        <v>345000</v>
      </c>
      <c r="D19" s="109"/>
      <c r="E19" s="109"/>
      <c r="F19" s="109"/>
      <c r="G19" s="109"/>
      <c r="H19" s="109"/>
      <c r="I19" s="109"/>
      <c r="J19" s="75">
        <f t="shared" si="0"/>
        <v>0</v>
      </c>
      <c r="K19" s="75">
        <f t="shared" si="1"/>
        <v>345000</v>
      </c>
      <c r="L19" s="109">
        <v>361905</v>
      </c>
      <c r="M19" s="109">
        <v>379638</v>
      </c>
      <c r="N19" s="127"/>
      <c r="O19" s="127"/>
      <c r="P19" s="127"/>
      <c r="Q19" s="127"/>
      <c r="R19" s="127"/>
      <c r="S19" s="127"/>
      <c r="T19" s="127"/>
      <c r="U19" s="127"/>
      <c r="V19" s="127"/>
    </row>
    <row r="20" spans="1:22" ht="12.75" customHeight="1">
      <c r="A20" s="30" t="s">
        <v>696</v>
      </c>
      <c r="B20" s="73"/>
      <c r="C20" s="129">
        <v>44448250</v>
      </c>
      <c r="D20" s="109"/>
      <c r="E20" s="109"/>
      <c r="F20" s="109"/>
      <c r="G20" s="109"/>
      <c r="H20" s="109"/>
      <c r="I20" s="109"/>
      <c r="J20" s="75">
        <f t="shared" si="0"/>
        <v>0</v>
      </c>
      <c r="K20" s="75">
        <f t="shared" si="1"/>
        <v>44448250</v>
      </c>
      <c r="L20" s="109">
        <v>46626214</v>
      </c>
      <c r="M20" s="109">
        <v>48910899</v>
      </c>
      <c r="N20" s="127"/>
      <c r="O20" s="127"/>
      <c r="P20" s="127"/>
      <c r="Q20" s="127"/>
      <c r="R20" s="127"/>
      <c r="S20" s="127"/>
      <c r="T20" s="127"/>
      <c r="U20" s="127"/>
      <c r="V20" s="127"/>
    </row>
    <row r="21" spans="1:22" ht="12.75" customHeight="1">
      <c r="A21" s="30" t="s">
        <v>1295</v>
      </c>
      <c r="B21" s="73"/>
      <c r="C21" s="129">
        <v>238841880.38</v>
      </c>
      <c r="D21" s="109"/>
      <c r="E21" s="109"/>
      <c r="F21" s="109"/>
      <c r="G21" s="109"/>
      <c r="H21" s="109"/>
      <c r="I21" s="109"/>
      <c r="J21" s="75">
        <f t="shared" si="0"/>
        <v>0</v>
      </c>
      <c r="K21" s="75">
        <f t="shared" si="1"/>
        <v>238841880.38</v>
      </c>
      <c r="L21" s="109">
        <v>267059041.99000001</v>
      </c>
      <c r="M21" s="109">
        <v>321359364.50999999</v>
      </c>
      <c r="N21" s="127"/>
      <c r="O21" s="127"/>
      <c r="P21" s="127"/>
      <c r="Q21" s="127"/>
      <c r="R21" s="127"/>
      <c r="S21" s="127"/>
      <c r="T21" s="127"/>
      <c r="U21" s="127"/>
      <c r="V21" s="127"/>
    </row>
    <row r="22" spans="1:22" ht="12.75" customHeight="1">
      <c r="A22" s="30" t="s">
        <v>697</v>
      </c>
      <c r="B22" s="73">
        <v>2</v>
      </c>
      <c r="C22" s="130">
        <f>'SB1'!C36</f>
        <v>5203203</v>
      </c>
      <c r="D22" s="131">
        <f>'SB1'!D36</f>
        <v>0</v>
      </c>
      <c r="E22" s="131">
        <f>'SB1'!E36</f>
        <v>0</v>
      </c>
      <c r="F22" s="131">
        <f>'SB1'!F36</f>
        <v>0</v>
      </c>
      <c r="G22" s="131">
        <f>'SB1'!G36</f>
        <v>0</v>
      </c>
      <c r="H22" s="131">
        <f>'SB1'!H36</f>
        <v>0</v>
      </c>
      <c r="I22" s="131">
        <f>'SB1'!I36</f>
        <v>38747614</v>
      </c>
      <c r="J22" s="131">
        <f t="shared" si="0"/>
        <v>38747614</v>
      </c>
      <c r="K22" s="131">
        <f t="shared" si="1"/>
        <v>43950817</v>
      </c>
      <c r="L22" s="131">
        <f>'SB1'!L36</f>
        <v>11958161</v>
      </c>
      <c r="M22" s="132">
        <f>'SB1'!M36</f>
        <v>12725610</v>
      </c>
      <c r="N22" s="127"/>
      <c r="O22" s="127"/>
      <c r="P22" s="127"/>
      <c r="Q22" s="127"/>
      <c r="R22" s="127"/>
      <c r="S22" s="127"/>
      <c r="T22" s="127"/>
      <c r="U22" s="127"/>
      <c r="V22" s="127"/>
    </row>
    <row r="23" spans="1:22" ht="12.75" customHeight="1">
      <c r="A23" s="128" t="s">
        <v>698</v>
      </c>
      <c r="B23" s="73"/>
      <c r="C23" s="129">
        <v>2300000</v>
      </c>
      <c r="D23" s="109"/>
      <c r="E23" s="109"/>
      <c r="F23" s="109"/>
      <c r="G23" s="109"/>
      <c r="H23" s="109"/>
      <c r="I23" s="109"/>
      <c r="J23" s="75">
        <f t="shared" si="0"/>
        <v>0</v>
      </c>
      <c r="K23" s="75">
        <f t="shared" si="1"/>
        <v>2300000</v>
      </c>
      <c r="L23" s="109">
        <v>2412700</v>
      </c>
      <c r="M23" s="109">
        <v>2530922</v>
      </c>
      <c r="N23" s="127"/>
      <c r="O23" s="127"/>
      <c r="P23" s="127"/>
      <c r="Q23" s="127"/>
      <c r="R23" s="127"/>
      <c r="S23" s="127"/>
      <c r="T23" s="127"/>
      <c r="U23" s="127"/>
      <c r="V23" s="127"/>
    </row>
    <row r="24" spans="1:22" ht="24" customHeight="1">
      <c r="A24" s="661" t="s">
        <v>597</v>
      </c>
      <c r="B24" s="662"/>
      <c r="C24" s="658">
        <f t="shared" ref="C24:M24" si="2">SUM(C7:C23)</f>
        <v>770744342.38</v>
      </c>
      <c r="D24" s="659">
        <f t="shared" si="2"/>
        <v>0</v>
      </c>
      <c r="E24" s="659">
        <f t="shared" si="2"/>
        <v>0</v>
      </c>
      <c r="F24" s="659">
        <f t="shared" si="2"/>
        <v>0</v>
      </c>
      <c r="G24" s="659">
        <f t="shared" si="2"/>
        <v>0</v>
      </c>
      <c r="H24" s="659">
        <f t="shared" si="2"/>
        <v>0</v>
      </c>
      <c r="I24" s="659">
        <f t="shared" si="2"/>
        <v>38747614</v>
      </c>
      <c r="J24" s="659">
        <f t="shared" si="2"/>
        <v>38747614</v>
      </c>
      <c r="K24" s="659">
        <f t="shared" si="2"/>
        <v>809491956.38</v>
      </c>
      <c r="L24" s="659">
        <f t="shared" si="2"/>
        <v>831524725.69000006</v>
      </c>
      <c r="M24" s="660">
        <f t="shared" si="2"/>
        <v>913665364.67999995</v>
      </c>
      <c r="N24" s="127"/>
      <c r="O24" s="127"/>
      <c r="P24" s="127"/>
      <c r="Q24" s="127"/>
      <c r="R24" s="127"/>
      <c r="S24" s="127"/>
      <c r="T24" s="127"/>
      <c r="U24" s="127"/>
      <c r="V24" s="127"/>
    </row>
    <row r="25" spans="1:22" ht="5.0999999999999996" customHeight="1">
      <c r="A25" s="135"/>
      <c r="B25" s="73"/>
      <c r="C25" s="74"/>
      <c r="D25" s="75"/>
      <c r="E25" s="75"/>
      <c r="F25" s="75"/>
      <c r="G25" s="75"/>
      <c r="H25" s="75"/>
      <c r="I25" s="75"/>
      <c r="J25" s="75"/>
      <c r="K25" s="75"/>
      <c r="L25" s="75"/>
      <c r="M25" s="76"/>
      <c r="N25" s="127"/>
      <c r="O25" s="127"/>
      <c r="P25" s="127"/>
      <c r="Q25" s="127"/>
      <c r="R25" s="127"/>
      <c r="S25" s="127"/>
      <c r="T25" s="127"/>
      <c r="U25" s="127"/>
      <c r="V25" s="127"/>
    </row>
    <row r="26" spans="1:22" ht="12.75" customHeight="1">
      <c r="A26" s="125" t="s">
        <v>699</v>
      </c>
      <c r="B26" s="114"/>
      <c r="C26" s="74"/>
      <c r="D26" s="75"/>
      <c r="E26" s="75"/>
      <c r="F26" s="75"/>
      <c r="G26" s="75"/>
      <c r="H26" s="75"/>
      <c r="I26" s="75"/>
      <c r="J26" s="75"/>
      <c r="K26" s="75"/>
      <c r="L26" s="75"/>
      <c r="M26" s="76"/>
      <c r="N26" s="127"/>
      <c r="O26" s="127"/>
      <c r="P26" s="127"/>
      <c r="Q26" s="127"/>
      <c r="R26" s="127"/>
      <c r="S26" s="127"/>
      <c r="T26" s="127"/>
      <c r="U26" s="127"/>
      <c r="V26" s="127"/>
    </row>
    <row r="27" spans="1:22" ht="12.75" customHeight="1">
      <c r="A27" s="30" t="s">
        <v>700</v>
      </c>
      <c r="B27" s="136"/>
      <c r="C27" s="130">
        <f>'SB1'!C54</f>
        <v>131774472</v>
      </c>
      <c r="D27" s="131">
        <f>'SB1'!D54</f>
        <v>0</v>
      </c>
      <c r="E27" s="131">
        <f>'SB1'!E54</f>
        <v>0</v>
      </c>
      <c r="F27" s="131">
        <f>'SB1'!F54</f>
        <v>0</v>
      </c>
      <c r="G27" s="131">
        <f>'SB1'!G54</f>
        <v>0</v>
      </c>
      <c r="H27" s="131">
        <f>'SB1'!H54</f>
        <v>0</v>
      </c>
      <c r="I27" s="131">
        <f>'SB1'!I54</f>
        <v>3041000</v>
      </c>
      <c r="J27" s="131">
        <f t="shared" ref="J27:J37" si="3">SUM(E27:I27)</f>
        <v>3041000</v>
      </c>
      <c r="K27" s="131">
        <f t="shared" ref="K27:K37" si="4">IF(D27=0,C27+J27,D27+J27)</f>
        <v>134815472</v>
      </c>
      <c r="L27" s="131">
        <f>'SB1'!L54</f>
        <v>141979633.76199999</v>
      </c>
      <c r="M27" s="132">
        <f>'SB1'!M54</f>
        <v>149047417.8211</v>
      </c>
      <c r="N27" s="127"/>
      <c r="O27" s="127"/>
      <c r="P27" s="127"/>
      <c r="Q27" s="127"/>
      <c r="R27" s="127"/>
      <c r="S27" s="127"/>
      <c r="T27" s="127"/>
      <c r="U27" s="127"/>
      <c r="V27" s="127"/>
    </row>
    <row r="28" spans="1:22" ht="12.75" customHeight="1">
      <c r="A28" s="30" t="s">
        <v>599</v>
      </c>
      <c r="B28" s="136"/>
      <c r="C28" s="129">
        <v>18618694</v>
      </c>
      <c r="D28" s="109"/>
      <c r="E28" s="109"/>
      <c r="F28" s="109"/>
      <c r="G28" s="109"/>
      <c r="H28" s="109"/>
      <c r="I28" s="109">
        <v>350000</v>
      </c>
      <c r="J28" s="75">
        <f t="shared" si="3"/>
        <v>350000</v>
      </c>
      <c r="K28" s="75">
        <f t="shared" si="4"/>
        <v>18968694</v>
      </c>
      <c r="L28" s="109">
        <f>19531010+356000</f>
        <v>19887010</v>
      </c>
      <c r="M28" s="109">
        <f>20488029+395800</f>
        <v>20883829</v>
      </c>
      <c r="N28" s="127"/>
      <c r="O28" s="127"/>
      <c r="P28" s="127"/>
      <c r="Q28" s="127"/>
      <c r="R28" s="127"/>
      <c r="S28" s="127"/>
      <c r="T28" s="127"/>
      <c r="U28" s="127"/>
      <c r="V28" s="127"/>
    </row>
    <row r="29" spans="1:22" ht="12.75" customHeight="1">
      <c r="A29" s="30" t="s">
        <v>701</v>
      </c>
      <c r="B29" s="136"/>
      <c r="C29" s="129">
        <v>11006000</v>
      </c>
      <c r="D29" s="109"/>
      <c r="E29" s="109"/>
      <c r="F29" s="109"/>
      <c r="G29" s="109"/>
      <c r="H29" s="109"/>
      <c r="I29" s="109"/>
      <c r="J29" s="75">
        <f t="shared" si="3"/>
        <v>0</v>
      </c>
      <c r="K29" s="75">
        <f t="shared" si="4"/>
        <v>11006000</v>
      </c>
      <c r="L29" s="109">
        <v>11545294</v>
      </c>
      <c r="M29" s="109">
        <v>12111013</v>
      </c>
      <c r="N29" s="127"/>
      <c r="O29" s="127"/>
      <c r="P29" s="127"/>
      <c r="Q29" s="127"/>
      <c r="R29" s="127"/>
      <c r="S29" s="127"/>
      <c r="T29" s="127"/>
      <c r="U29" s="127"/>
      <c r="V29" s="127"/>
    </row>
    <row r="30" spans="1:22" ht="12.75" customHeight="1">
      <c r="A30" s="30" t="s">
        <v>600</v>
      </c>
      <c r="B30" s="136"/>
      <c r="C30" s="130">
        <f>'SB1'!C66</f>
        <v>110726401</v>
      </c>
      <c r="D30" s="131">
        <f>'SB1'!D66</f>
        <v>0</v>
      </c>
      <c r="E30" s="131">
        <f>'SB1'!E66</f>
        <v>0</v>
      </c>
      <c r="F30" s="131">
        <f>'SB1'!F66</f>
        <v>0</v>
      </c>
      <c r="G30" s="131">
        <f>'SB1'!G66</f>
        <v>0</v>
      </c>
      <c r="H30" s="131">
        <f>'SB1'!H66</f>
        <v>0</v>
      </c>
      <c r="I30" s="131">
        <f>'SB1'!I66</f>
        <v>0</v>
      </c>
      <c r="J30" s="131">
        <f t="shared" si="3"/>
        <v>0</v>
      </c>
      <c r="K30" s="131">
        <f t="shared" si="4"/>
        <v>110726401</v>
      </c>
      <c r="L30" s="131">
        <f>'SB1'!L66</f>
        <v>127384502</v>
      </c>
      <c r="M30" s="132">
        <f>'SB1'!M66</f>
        <v>135825133</v>
      </c>
      <c r="N30" s="127"/>
      <c r="O30" s="127"/>
      <c r="P30" s="127"/>
      <c r="Q30" s="127"/>
      <c r="R30" s="127"/>
      <c r="S30" s="127"/>
      <c r="T30" s="127"/>
      <c r="U30" s="127"/>
      <c r="V30" s="127"/>
    </row>
    <row r="31" spans="1:22" ht="12.75" customHeight="1">
      <c r="A31" s="30" t="s">
        <v>601</v>
      </c>
      <c r="B31" s="136"/>
      <c r="C31" s="129">
        <v>11489393</v>
      </c>
      <c r="D31" s="109"/>
      <c r="E31" s="109"/>
      <c r="F31" s="109"/>
      <c r="G31" s="109"/>
      <c r="H31" s="109"/>
      <c r="I31" s="109"/>
      <c r="J31" s="75">
        <f t="shared" si="3"/>
        <v>0</v>
      </c>
      <c r="K31" s="75">
        <f t="shared" si="4"/>
        <v>11489393</v>
      </c>
      <c r="L31" s="109">
        <v>12052374</v>
      </c>
      <c r="M31" s="109">
        <v>12642940</v>
      </c>
      <c r="N31" s="127"/>
      <c r="O31" s="127"/>
      <c r="P31" s="127"/>
      <c r="Q31" s="127"/>
      <c r="R31" s="127"/>
      <c r="S31" s="127"/>
      <c r="T31" s="127"/>
      <c r="U31" s="127"/>
      <c r="V31" s="127"/>
    </row>
    <row r="32" spans="1:22" ht="12.75" customHeight="1">
      <c r="A32" s="30" t="s">
        <v>702</v>
      </c>
      <c r="B32" s="136"/>
      <c r="C32" s="130">
        <f>'SB1'!C71</f>
        <v>248769734</v>
      </c>
      <c r="D32" s="131">
        <f>'SB1'!D71</f>
        <v>0</v>
      </c>
      <c r="E32" s="131">
        <f>'SB1'!E71</f>
        <v>0</v>
      </c>
      <c r="F32" s="131">
        <f>'SB1'!F71</f>
        <v>0</v>
      </c>
      <c r="G32" s="131">
        <f>'SB1'!G71</f>
        <v>0</v>
      </c>
      <c r="H32" s="131">
        <f>'SB1'!H71</f>
        <v>0</v>
      </c>
      <c r="I32" s="131">
        <f>'SB1'!I71</f>
        <v>0</v>
      </c>
      <c r="J32" s="137">
        <f t="shared" si="3"/>
        <v>0</v>
      </c>
      <c r="K32" s="137">
        <f t="shared" si="4"/>
        <v>248769734</v>
      </c>
      <c r="L32" s="131">
        <f>'SB1'!L71</f>
        <v>260959451</v>
      </c>
      <c r="M32" s="132">
        <f>'SB1'!M71</f>
        <v>273746464.10000002</v>
      </c>
      <c r="N32" s="127"/>
      <c r="O32" s="127"/>
      <c r="P32" s="127"/>
      <c r="Q32" s="127"/>
      <c r="R32" s="127"/>
      <c r="S32" s="127"/>
      <c r="T32" s="127"/>
      <c r="U32" s="127"/>
      <c r="V32" s="127"/>
    </row>
    <row r="33" spans="1:22" ht="12.75" customHeight="1">
      <c r="A33" s="30" t="s">
        <v>703</v>
      </c>
      <c r="B33" s="136"/>
      <c r="C33" s="129"/>
      <c r="D33" s="109"/>
      <c r="E33" s="109"/>
      <c r="F33" s="109"/>
      <c r="G33" s="109"/>
      <c r="H33" s="109"/>
      <c r="I33" s="109"/>
      <c r="J33" s="75">
        <f t="shared" si="3"/>
        <v>0</v>
      </c>
      <c r="K33" s="75">
        <f t="shared" si="4"/>
        <v>0</v>
      </c>
      <c r="L33" s="109"/>
      <c r="M33" s="110"/>
      <c r="N33" s="127"/>
      <c r="O33" s="127"/>
      <c r="P33" s="127"/>
      <c r="Q33" s="127"/>
      <c r="R33" s="127"/>
      <c r="S33" s="127"/>
      <c r="T33" s="127"/>
      <c r="U33" s="127"/>
      <c r="V33" s="127"/>
    </row>
    <row r="34" spans="1:22" ht="12.75" customHeight="1">
      <c r="A34" s="30" t="s">
        <v>704</v>
      </c>
      <c r="B34" s="136"/>
      <c r="C34" s="130">
        <f>'SB1'!C94</f>
        <v>39112872</v>
      </c>
      <c r="D34" s="131">
        <f>'SB1'!D94</f>
        <v>0</v>
      </c>
      <c r="E34" s="131">
        <f>'SB1'!E94</f>
        <v>0</v>
      </c>
      <c r="F34" s="131">
        <f>'SB1'!F94</f>
        <v>0</v>
      </c>
      <c r="G34" s="131">
        <f>'SB1'!G94</f>
        <v>0</v>
      </c>
      <c r="H34" s="131">
        <f>'SB1'!H94</f>
        <v>0</v>
      </c>
      <c r="I34" s="131">
        <f>'SB1'!I94</f>
        <v>238000</v>
      </c>
      <c r="J34" s="131">
        <f t="shared" si="3"/>
        <v>238000</v>
      </c>
      <c r="K34" s="131">
        <f t="shared" si="4"/>
        <v>39350872</v>
      </c>
      <c r="L34" s="131">
        <f>'SB1'!L94</f>
        <v>41353223</v>
      </c>
      <c r="M34" s="132">
        <f>'SB1'!M94</f>
        <v>43396049</v>
      </c>
      <c r="N34" s="127"/>
      <c r="O34" s="127"/>
      <c r="P34" s="127"/>
      <c r="Q34" s="127"/>
      <c r="R34" s="127"/>
      <c r="S34" s="127"/>
      <c r="T34" s="127"/>
      <c r="U34" s="127"/>
      <c r="V34" s="127"/>
    </row>
    <row r="35" spans="1:22" ht="12.75" customHeight="1">
      <c r="A35" s="30" t="s">
        <v>705</v>
      </c>
      <c r="B35" s="136"/>
      <c r="C35" s="129">
        <v>31548695</v>
      </c>
      <c r="D35" s="109"/>
      <c r="E35" s="109"/>
      <c r="F35" s="109"/>
      <c r="G35" s="109"/>
      <c r="H35" s="109"/>
      <c r="I35" s="109">
        <f>5200000+26000</f>
        <v>5226000</v>
      </c>
      <c r="J35" s="75">
        <f t="shared" si="3"/>
        <v>5226000</v>
      </c>
      <c r="K35" s="75">
        <f t="shared" si="4"/>
        <v>36774695</v>
      </c>
      <c r="L35" s="109">
        <v>35295231.390000001</v>
      </c>
      <c r="M35" s="109">
        <v>35758531.719999999</v>
      </c>
      <c r="N35" s="127"/>
      <c r="O35" s="127"/>
      <c r="P35" s="127"/>
      <c r="Q35" s="127"/>
      <c r="R35" s="127"/>
      <c r="S35" s="127"/>
      <c r="T35" s="127"/>
      <c r="U35" s="127"/>
      <c r="V35" s="127"/>
    </row>
    <row r="36" spans="1:22" ht="12.75" customHeight="1">
      <c r="A36" s="30" t="s">
        <v>604</v>
      </c>
      <c r="B36" s="136"/>
      <c r="C36" s="130">
        <f>'SB1'!C103</f>
        <v>178307458</v>
      </c>
      <c r="D36" s="131">
        <f>'SB1'!D103</f>
        <v>0</v>
      </c>
      <c r="E36" s="131">
        <f>'SB1'!E103</f>
        <v>0</v>
      </c>
      <c r="F36" s="131">
        <f>'SB1'!F103</f>
        <v>0</v>
      </c>
      <c r="G36" s="131">
        <f>'SB1'!G103</f>
        <v>0</v>
      </c>
      <c r="H36" s="131">
        <f>'SB1'!H103</f>
        <v>0</v>
      </c>
      <c r="I36" s="131">
        <f>'SB1'!I103</f>
        <v>9316000</v>
      </c>
      <c r="J36" s="75">
        <f t="shared" si="3"/>
        <v>9316000</v>
      </c>
      <c r="K36" s="75">
        <f t="shared" si="4"/>
        <v>187623458</v>
      </c>
      <c r="L36" s="131">
        <f>'SB1'!L103</f>
        <v>188957524.31999999</v>
      </c>
      <c r="M36" s="132">
        <f>'SB1'!M103</f>
        <v>198247207.34</v>
      </c>
      <c r="N36" s="127"/>
      <c r="O36" s="127"/>
      <c r="P36" s="127"/>
      <c r="Q36" s="127"/>
      <c r="R36" s="127"/>
      <c r="S36" s="127"/>
      <c r="T36" s="127"/>
      <c r="U36" s="127"/>
      <c r="V36" s="127"/>
    </row>
    <row r="37" spans="1:22" ht="12.75" customHeight="1">
      <c r="A37" s="30" t="s">
        <v>706</v>
      </c>
      <c r="B37" s="136"/>
      <c r="C37" s="129"/>
      <c r="D37" s="109"/>
      <c r="E37" s="109"/>
      <c r="F37" s="109"/>
      <c r="G37" s="109"/>
      <c r="H37" s="109"/>
      <c r="I37" s="109"/>
      <c r="J37" s="75">
        <f t="shared" si="3"/>
        <v>0</v>
      </c>
      <c r="K37" s="75">
        <f t="shared" si="4"/>
        <v>0</v>
      </c>
      <c r="L37" s="109"/>
      <c r="M37" s="110"/>
      <c r="N37" s="127"/>
      <c r="O37" s="127"/>
      <c r="P37" s="127"/>
      <c r="Q37" s="127"/>
      <c r="R37" s="127"/>
      <c r="S37" s="127"/>
      <c r="T37" s="127"/>
      <c r="U37" s="127"/>
      <c r="V37" s="127"/>
    </row>
    <row r="38" spans="1:22" ht="12.75" customHeight="1">
      <c r="A38" s="162" t="s">
        <v>605</v>
      </c>
      <c r="B38" s="79"/>
      <c r="C38" s="80">
        <f t="shared" ref="C38:M38" si="5">SUM(C27:C37)</f>
        <v>781353719</v>
      </c>
      <c r="D38" s="81">
        <f t="shared" si="5"/>
        <v>0</v>
      </c>
      <c r="E38" s="81">
        <f t="shared" si="5"/>
        <v>0</v>
      </c>
      <c r="F38" s="81">
        <f t="shared" si="5"/>
        <v>0</v>
      </c>
      <c r="G38" s="81">
        <f t="shared" si="5"/>
        <v>0</v>
      </c>
      <c r="H38" s="81">
        <f t="shared" si="5"/>
        <v>0</v>
      </c>
      <c r="I38" s="81">
        <f t="shared" si="5"/>
        <v>18171000</v>
      </c>
      <c r="J38" s="81">
        <f t="shared" si="5"/>
        <v>18171000</v>
      </c>
      <c r="K38" s="81">
        <f t="shared" si="5"/>
        <v>799524719</v>
      </c>
      <c r="L38" s="81">
        <f t="shared" si="5"/>
        <v>839414243.47199988</v>
      </c>
      <c r="M38" s="82">
        <f t="shared" si="5"/>
        <v>881658584.98110008</v>
      </c>
      <c r="N38" s="127"/>
      <c r="O38" s="127"/>
      <c r="P38" s="127"/>
      <c r="Q38" s="127"/>
      <c r="R38" s="127"/>
      <c r="S38" s="127"/>
      <c r="T38" s="127"/>
      <c r="U38" s="127"/>
      <c r="V38" s="127"/>
    </row>
    <row r="39" spans="1:22" ht="5.0999999999999996" customHeight="1">
      <c r="A39" s="135"/>
      <c r="B39" s="73"/>
      <c r="C39" s="74"/>
      <c r="D39" s="75"/>
      <c r="E39" s="75"/>
      <c r="F39" s="75"/>
      <c r="G39" s="75"/>
      <c r="H39" s="75"/>
      <c r="I39" s="75"/>
      <c r="J39" s="75"/>
      <c r="K39" s="75"/>
      <c r="L39" s="75"/>
      <c r="M39" s="76"/>
      <c r="N39" s="127"/>
      <c r="O39" s="127"/>
      <c r="P39" s="127"/>
      <c r="Q39" s="127"/>
      <c r="R39" s="127"/>
      <c r="S39" s="127"/>
      <c r="T39" s="127"/>
      <c r="U39" s="127"/>
      <c r="V39" s="127"/>
    </row>
    <row r="40" spans="1:22" ht="12.75" customHeight="1">
      <c r="A40" s="138" t="s">
        <v>606</v>
      </c>
      <c r="B40" s="73"/>
      <c r="C40" s="139">
        <f t="shared" ref="C40:M40" si="6">C24-C38</f>
        <v>-10609376.620000005</v>
      </c>
      <c r="D40" s="140">
        <f t="shared" si="6"/>
        <v>0</v>
      </c>
      <c r="E40" s="140">
        <f t="shared" si="6"/>
        <v>0</v>
      </c>
      <c r="F40" s="140">
        <f t="shared" si="6"/>
        <v>0</v>
      </c>
      <c r="G40" s="140">
        <f t="shared" si="6"/>
        <v>0</v>
      </c>
      <c r="H40" s="140">
        <f t="shared" si="6"/>
        <v>0</v>
      </c>
      <c r="I40" s="140">
        <f t="shared" si="6"/>
        <v>20576614</v>
      </c>
      <c r="J40" s="140">
        <f t="shared" si="6"/>
        <v>20576614</v>
      </c>
      <c r="K40" s="140">
        <f t="shared" si="6"/>
        <v>9967237.3799999952</v>
      </c>
      <c r="L40" s="140">
        <f t="shared" si="6"/>
        <v>-7889517.7819998264</v>
      </c>
      <c r="M40" s="141">
        <f t="shared" si="6"/>
        <v>32006779.698899865</v>
      </c>
      <c r="N40" s="127"/>
      <c r="O40" s="127"/>
      <c r="P40" s="127"/>
      <c r="Q40" s="127"/>
      <c r="R40" s="127"/>
      <c r="S40" s="127"/>
      <c r="T40" s="127"/>
      <c r="U40" s="127"/>
      <c r="V40" s="127"/>
    </row>
    <row r="41" spans="1:22" ht="12.75" customHeight="1">
      <c r="A41" s="128" t="s">
        <v>607</v>
      </c>
      <c r="B41" s="73"/>
      <c r="C41" s="129">
        <v>80317120</v>
      </c>
      <c r="D41" s="109"/>
      <c r="E41" s="109"/>
      <c r="F41" s="109"/>
      <c r="G41" s="109"/>
      <c r="H41" s="109">
        <f>18350000+2000000</f>
        <v>20350000</v>
      </c>
      <c r="I41" s="109"/>
      <c r="J41" s="75">
        <f>SUM(E41:I41)</f>
        <v>20350000</v>
      </c>
      <c r="K41" s="75">
        <f>IF(D41=0,C41+J41,D41+J41)</f>
        <v>100667120</v>
      </c>
      <c r="L41" s="109">
        <v>88664960</v>
      </c>
      <c r="M41" s="109">
        <v>95512640</v>
      </c>
      <c r="N41" s="127"/>
      <c r="O41" s="127"/>
      <c r="P41" s="127"/>
      <c r="Q41" s="127"/>
      <c r="R41" s="127"/>
      <c r="S41" s="127"/>
      <c r="T41" s="127"/>
      <c r="U41" s="127"/>
      <c r="V41" s="127"/>
    </row>
    <row r="42" spans="1:22" ht="12.75" customHeight="1">
      <c r="A42" s="128" t="s">
        <v>707</v>
      </c>
      <c r="B42" s="73"/>
      <c r="C42" s="129"/>
      <c r="D42" s="109"/>
      <c r="E42" s="109"/>
      <c r="F42" s="109"/>
      <c r="G42" s="109"/>
      <c r="H42" s="109"/>
      <c r="I42" s="109"/>
      <c r="J42" s="75">
        <f>SUM(E42:I42)</f>
        <v>0</v>
      </c>
      <c r="K42" s="75">
        <f>IF(D42=0,C42+J42,D42+J42)</f>
        <v>0</v>
      </c>
      <c r="L42" s="109"/>
      <c r="M42" s="110"/>
      <c r="N42" s="127"/>
      <c r="O42" s="127"/>
      <c r="P42" s="127"/>
      <c r="Q42" s="127"/>
      <c r="R42" s="127"/>
      <c r="S42" s="127"/>
      <c r="T42" s="127"/>
      <c r="U42" s="127"/>
      <c r="V42" s="127"/>
    </row>
    <row r="43" spans="1:22" ht="12.75" customHeight="1">
      <c r="A43" s="128" t="s">
        <v>708</v>
      </c>
      <c r="B43" s="73"/>
      <c r="C43" s="142"/>
      <c r="D43" s="143"/>
      <c r="E43" s="143"/>
      <c r="F43" s="143"/>
      <c r="G43" s="143"/>
      <c r="H43" s="143"/>
      <c r="I43" s="143"/>
      <c r="J43" s="144">
        <f>SUM(E43:I43)</f>
        <v>0</v>
      </c>
      <c r="K43" s="144">
        <f>IF(D43=0,C43+J43,D43+J43)</f>
        <v>0</v>
      </c>
      <c r="L43" s="143"/>
      <c r="M43" s="112"/>
      <c r="N43" s="127"/>
      <c r="O43" s="127"/>
      <c r="P43" s="127"/>
      <c r="Q43" s="127"/>
      <c r="R43" s="127"/>
      <c r="S43" s="127"/>
      <c r="T43" s="127"/>
      <c r="U43" s="127"/>
      <c r="V43" s="127"/>
    </row>
    <row r="44" spans="1:22">
      <c r="A44" s="134" t="s">
        <v>709</v>
      </c>
      <c r="B44" s="73"/>
      <c r="C44" s="145">
        <f t="shared" ref="C44:M44" si="7">SUM(C40:C43)</f>
        <v>69707743.379999995</v>
      </c>
      <c r="D44" s="146">
        <f t="shared" si="7"/>
        <v>0</v>
      </c>
      <c r="E44" s="146">
        <f t="shared" si="7"/>
        <v>0</v>
      </c>
      <c r="F44" s="146">
        <f t="shared" si="7"/>
        <v>0</v>
      </c>
      <c r="G44" s="146">
        <f t="shared" si="7"/>
        <v>0</v>
      </c>
      <c r="H44" s="146">
        <f t="shared" si="7"/>
        <v>20350000</v>
      </c>
      <c r="I44" s="146">
        <f t="shared" si="7"/>
        <v>20576614</v>
      </c>
      <c r="J44" s="146">
        <f t="shared" si="7"/>
        <v>40926614</v>
      </c>
      <c r="K44" s="146">
        <f t="shared" si="7"/>
        <v>110634357.38</v>
      </c>
      <c r="L44" s="146">
        <f t="shared" si="7"/>
        <v>80775442.218000174</v>
      </c>
      <c r="M44" s="147">
        <f t="shared" si="7"/>
        <v>127519419.69889987</v>
      </c>
      <c r="N44" s="127"/>
      <c r="O44" s="127"/>
      <c r="P44" s="127"/>
      <c r="Q44" s="127"/>
      <c r="R44" s="127"/>
      <c r="S44" s="127"/>
      <c r="T44" s="127"/>
      <c r="U44" s="127"/>
      <c r="V44" s="127"/>
    </row>
    <row r="45" spans="1:22" ht="12.75" customHeight="1">
      <c r="A45" s="128" t="s">
        <v>710</v>
      </c>
      <c r="B45" s="73"/>
      <c r="C45" s="129"/>
      <c r="D45" s="109"/>
      <c r="E45" s="109"/>
      <c r="F45" s="109"/>
      <c r="G45" s="109"/>
      <c r="H45" s="109"/>
      <c r="I45" s="109"/>
      <c r="J45" s="75">
        <f>SUM(E45:I45)</f>
        <v>0</v>
      </c>
      <c r="K45" s="75">
        <f>IF(D45=0,C45+J45,D45+J45)</f>
        <v>0</v>
      </c>
      <c r="L45" s="109"/>
      <c r="M45" s="110"/>
      <c r="N45" s="127"/>
      <c r="O45" s="127"/>
      <c r="P45" s="127"/>
      <c r="Q45" s="127"/>
      <c r="R45" s="127"/>
      <c r="S45" s="127"/>
      <c r="T45" s="127"/>
      <c r="U45" s="127"/>
      <c r="V45" s="127"/>
    </row>
    <row r="46" spans="1:22" ht="12.75" customHeight="1">
      <c r="A46" s="138" t="s">
        <v>711</v>
      </c>
      <c r="B46" s="148"/>
      <c r="C46" s="149">
        <f t="shared" ref="C46:M46" si="8">C44-C45</f>
        <v>69707743.379999995</v>
      </c>
      <c r="D46" s="150">
        <f t="shared" si="8"/>
        <v>0</v>
      </c>
      <c r="E46" s="150">
        <f t="shared" si="8"/>
        <v>0</v>
      </c>
      <c r="F46" s="150">
        <f t="shared" si="8"/>
        <v>0</v>
      </c>
      <c r="G46" s="150">
        <f t="shared" si="8"/>
        <v>0</v>
      </c>
      <c r="H46" s="150">
        <f t="shared" si="8"/>
        <v>20350000</v>
      </c>
      <c r="I46" s="150">
        <f t="shared" si="8"/>
        <v>20576614</v>
      </c>
      <c r="J46" s="150">
        <f t="shared" si="8"/>
        <v>40926614</v>
      </c>
      <c r="K46" s="150">
        <f t="shared" si="8"/>
        <v>110634357.38</v>
      </c>
      <c r="L46" s="150">
        <f t="shared" si="8"/>
        <v>80775442.218000174</v>
      </c>
      <c r="M46" s="151">
        <f t="shared" si="8"/>
        <v>127519419.69889987</v>
      </c>
      <c r="N46" s="127"/>
      <c r="O46" s="127"/>
      <c r="P46" s="127"/>
      <c r="Q46" s="127"/>
      <c r="R46" s="127"/>
      <c r="S46" s="127"/>
      <c r="T46" s="127"/>
      <c r="U46" s="127"/>
      <c r="V46" s="127"/>
    </row>
    <row r="47" spans="1:22" ht="12.75" customHeight="1">
      <c r="A47" s="128" t="s">
        <v>712</v>
      </c>
      <c r="B47" s="73"/>
      <c r="C47" s="142"/>
      <c r="D47" s="143"/>
      <c r="E47" s="143"/>
      <c r="F47" s="143"/>
      <c r="G47" s="143"/>
      <c r="H47" s="143"/>
      <c r="I47" s="143"/>
      <c r="J47" s="144">
        <f>SUM(E47:I47)</f>
        <v>0</v>
      </c>
      <c r="K47" s="144">
        <f>IF(D47=0,C47+J47,D47+J47)</f>
        <v>0</v>
      </c>
      <c r="L47" s="143"/>
      <c r="M47" s="112"/>
      <c r="N47" s="127"/>
      <c r="O47" s="127"/>
      <c r="P47" s="127"/>
      <c r="Q47" s="127"/>
      <c r="R47" s="127"/>
      <c r="S47" s="127"/>
      <c r="T47" s="127"/>
      <c r="U47" s="127"/>
      <c r="V47" s="127"/>
    </row>
    <row r="48" spans="1:22">
      <c r="A48" s="134" t="s">
        <v>1182</v>
      </c>
      <c r="B48" s="73"/>
      <c r="C48" s="145">
        <f t="shared" ref="C48:M48" si="9">SUM(C46:C47)</f>
        <v>69707743.379999995</v>
      </c>
      <c r="D48" s="146">
        <f t="shared" si="9"/>
        <v>0</v>
      </c>
      <c r="E48" s="146">
        <f t="shared" si="9"/>
        <v>0</v>
      </c>
      <c r="F48" s="146">
        <f t="shared" si="9"/>
        <v>0</v>
      </c>
      <c r="G48" s="146">
        <f t="shared" si="9"/>
        <v>0</v>
      </c>
      <c r="H48" s="146">
        <f t="shared" si="9"/>
        <v>20350000</v>
      </c>
      <c r="I48" s="146">
        <f t="shared" si="9"/>
        <v>20576614</v>
      </c>
      <c r="J48" s="146">
        <f t="shared" si="9"/>
        <v>40926614</v>
      </c>
      <c r="K48" s="146">
        <f t="shared" si="9"/>
        <v>110634357.38</v>
      </c>
      <c r="L48" s="146">
        <f t="shared" si="9"/>
        <v>80775442.218000174</v>
      </c>
      <c r="M48" s="147">
        <f t="shared" si="9"/>
        <v>127519419.69889987</v>
      </c>
      <c r="N48" s="127"/>
      <c r="O48" s="127"/>
      <c r="P48" s="127"/>
      <c r="Q48" s="127"/>
      <c r="R48" s="127"/>
      <c r="S48" s="127"/>
      <c r="T48" s="127"/>
      <c r="U48" s="127"/>
      <c r="V48" s="127"/>
    </row>
    <row r="49" spans="1:22" ht="12.75" customHeight="1">
      <c r="A49" s="152" t="s">
        <v>610</v>
      </c>
      <c r="B49" s="153"/>
      <c r="C49" s="129"/>
      <c r="D49" s="109"/>
      <c r="E49" s="109"/>
      <c r="F49" s="109"/>
      <c r="G49" s="109"/>
      <c r="H49" s="109"/>
      <c r="I49" s="109"/>
      <c r="J49" s="75">
        <f>SUM(E49:I49)</f>
        <v>0</v>
      </c>
      <c r="K49" s="75">
        <f>IF(D49=0,C49+J49,D49+J49)</f>
        <v>0</v>
      </c>
      <c r="L49" s="109"/>
      <c r="M49" s="110"/>
      <c r="N49" s="127"/>
      <c r="O49" s="127"/>
      <c r="P49" s="127"/>
      <c r="Q49" s="127"/>
      <c r="R49" s="127"/>
      <c r="S49" s="127"/>
      <c r="T49" s="127"/>
      <c r="U49" s="127"/>
      <c r="V49" s="127"/>
    </row>
    <row r="50" spans="1:22" ht="12.75" customHeight="1">
      <c r="A50" s="154" t="s">
        <v>611</v>
      </c>
      <c r="B50" s="155"/>
      <c r="C50" s="156">
        <f t="shared" ref="C50:M50" si="10">C48+C49</f>
        <v>69707743.379999995</v>
      </c>
      <c r="D50" s="116">
        <f t="shared" si="10"/>
        <v>0</v>
      </c>
      <c r="E50" s="116">
        <f t="shared" si="10"/>
        <v>0</v>
      </c>
      <c r="F50" s="116">
        <f t="shared" si="10"/>
        <v>0</v>
      </c>
      <c r="G50" s="116">
        <f t="shared" si="10"/>
        <v>0</v>
      </c>
      <c r="H50" s="116">
        <f t="shared" si="10"/>
        <v>20350000</v>
      </c>
      <c r="I50" s="116">
        <f t="shared" si="10"/>
        <v>20576614</v>
      </c>
      <c r="J50" s="116">
        <f t="shared" si="10"/>
        <v>40926614</v>
      </c>
      <c r="K50" s="116">
        <f t="shared" si="10"/>
        <v>110634357.38</v>
      </c>
      <c r="L50" s="116">
        <f t="shared" si="10"/>
        <v>80775442.218000174</v>
      </c>
      <c r="M50" s="117">
        <f t="shared" si="10"/>
        <v>127519419.69889987</v>
      </c>
      <c r="N50" s="127"/>
      <c r="O50" s="127"/>
      <c r="P50" s="127"/>
      <c r="Q50" s="127"/>
      <c r="R50" s="127"/>
      <c r="S50" s="127"/>
      <c r="T50" s="127"/>
      <c r="U50" s="127"/>
      <c r="V50" s="127"/>
    </row>
    <row r="51" spans="1:22" ht="12.75" customHeight="1">
      <c r="A51" s="157" t="str">
        <f>head27a</f>
        <v>References</v>
      </c>
      <c r="B51" s="93"/>
      <c r="C51" s="96"/>
      <c r="D51" s="96"/>
      <c r="E51" s="96"/>
      <c r="F51" s="96"/>
      <c r="G51" s="96"/>
      <c r="H51" s="96"/>
      <c r="I51" s="96"/>
      <c r="J51" s="96"/>
      <c r="K51" s="96"/>
      <c r="L51" s="96"/>
      <c r="M51" s="96"/>
      <c r="N51" s="127"/>
      <c r="O51" s="127"/>
      <c r="P51" s="127"/>
      <c r="Q51" s="127"/>
      <c r="R51" s="127"/>
      <c r="S51" s="127"/>
      <c r="T51" s="127"/>
      <c r="U51" s="127"/>
      <c r="V51" s="127"/>
    </row>
    <row r="52" spans="1:22" ht="12.75" customHeight="1">
      <c r="A52" s="99" t="s">
        <v>713</v>
      </c>
      <c r="B52" s="93"/>
      <c r="C52" s="96"/>
      <c r="D52" s="96"/>
      <c r="E52" s="96"/>
      <c r="F52" s="96"/>
      <c r="G52" s="96"/>
      <c r="H52" s="96"/>
      <c r="I52" s="96"/>
      <c r="J52" s="96"/>
      <c r="K52" s="96"/>
      <c r="L52" s="96"/>
      <c r="M52" s="96"/>
      <c r="N52" s="127"/>
      <c r="O52" s="127"/>
      <c r="P52" s="127"/>
      <c r="Q52" s="127"/>
      <c r="R52" s="127"/>
      <c r="S52" s="127"/>
      <c r="T52" s="127"/>
      <c r="U52" s="127"/>
      <c r="V52" s="127"/>
    </row>
    <row r="53" spans="1:22" ht="12.75" customHeight="1">
      <c r="A53" s="158" t="s">
        <v>1183</v>
      </c>
      <c r="B53" s="159"/>
      <c r="C53" s="94"/>
      <c r="D53" s="96"/>
      <c r="E53" s="96"/>
      <c r="F53" s="96"/>
      <c r="G53" s="96"/>
      <c r="H53" s="96"/>
      <c r="I53" s="96"/>
      <c r="J53" s="96"/>
      <c r="K53" s="96"/>
      <c r="L53" s="96"/>
      <c r="M53" s="96"/>
      <c r="N53" s="127"/>
      <c r="O53" s="127"/>
      <c r="P53" s="127"/>
      <c r="Q53" s="127"/>
      <c r="R53" s="127"/>
      <c r="S53" s="127"/>
      <c r="T53" s="127"/>
      <c r="U53" s="127"/>
      <c r="V53" s="127"/>
    </row>
    <row r="54" spans="1:22" ht="12.75" customHeight="1">
      <c r="A54" s="1324" t="s">
        <v>1106</v>
      </c>
      <c r="B54" s="1324"/>
      <c r="C54" s="1324"/>
      <c r="D54" s="1324"/>
      <c r="E54" s="1324"/>
      <c r="F54" s="1324"/>
      <c r="G54" s="1324"/>
      <c r="H54" s="1324"/>
      <c r="I54" s="1324"/>
      <c r="J54" s="1324"/>
      <c r="K54" s="1324"/>
      <c r="L54" s="1324"/>
      <c r="M54" s="1324"/>
      <c r="N54" s="127"/>
      <c r="O54" s="127"/>
      <c r="P54" s="127"/>
      <c r="Q54" s="127"/>
      <c r="R54" s="127"/>
      <c r="S54" s="127"/>
      <c r="T54" s="127"/>
      <c r="U54" s="127"/>
      <c r="V54" s="127"/>
    </row>
    <row r="55" spans="1:22" ht="27.75" customHeight="1">
      <c r="A55" s="1324" t="s">
        <v>1175</v>
      </c>
      <c r="B55" s="1324"/>
      <c r="C55" s="1324"/>
      <c r="D55" s="1324"/>
      <c r="E55" s="1324"/>
      <c r="F55" s="1324"/>
      <c r="G55" s="1324"/>
      <c r="H55" s="1324"/>
      <c r="I55" s="1324"/>
      <c r="J55" s="1324"/>
      <c r="K55" s="1324"/>
      <c r="L55" s="1324"/>
      <c r="M55" s="1324"/>
      <c r="N55" s="127"/>
      <c r="O55" s="127"/>
      <c r="P55" s="127"/>
      <c r="Q55" s="127"/>
      <c r="R55" s="127"/>
      <c r="S55" s="127"/>
      <c r="T55" s="127"/>
      <c r="U55" s="127"/>
      <c r="V55" s="127"/>
    </row>
    <row r="56" spans="1:22" ht="12.75" customHeight="1">
      <c r="A56" s="1318" t="s">
        <v>1176</v>
      </c>
      <c r="B56" s="1324"/>
      <c r="C56" s="1318"/>
      <c r="D56" s="1318"/>
      <c r="E56" s="1318"/>
      <c r="F56" s="1318"/>
      <c r="G56" s="1318"/>
      <c r="H56" s="1318"/>
      <c r="I56" s="1318"/>
      <c r="J56" s="1318"/>
      <c r="K56" s="1318"/>
      <c r="L56" s="1318"/>
      <c r="M56" s="1318"/>
      <c r="N56" s="127"/>
      <c r="O56" s="127"/>
      <c r="P56" s="127"/>
      <c r="Q56" s="127"/>
      <c r="R56" s="127"/>
      <c r="S56" s="127"/>
      <c r="T56" s="127"/>
      <c r="U56" s="127"/>
      <c r="V56" s="127"/>
    </row>
    <row r="57" spans="1:22" ht="12.75" customHeight="1">
      <c r="A57" s="1318" t="s">
        <v>1177</v>
      </c>
      <c r="B57" s="1318"/>
      <c r="C57" s="1318"/>
      <c r="D57" s="1318"/>
      <c r="E57" s="1318"/>
      <c r="F57" s="1318"/>
      <c r="G57" s="1318"/>
      <c r="H57" s="1318"/>
      <c r="I57" s="1318"/>
      <c r="J57" s="1318"/>
      <c r="K57" s="1318"/>
      <c r="L57" s="1318"/>
      <c r="M57" s="1318"/>
      <c r="N57" s="127"/>
      <c r="O57" s="127"/>
      <c r="P57" s="127"/>
      <c r="Q57" s="127"/>
      <c r="R57" s="127"/>
      <c r="S57" s="127"/>
      <c r="T57" s="127"/>
      <c r="U57" s="127"/>
      <c r="V57" s="127"/>
    </row>
    <row r="58" spans="1:22" ht="12.75" customHeight="1">
      <c r="A58" s="99" t="s">
        <v>1178</v>
      </c>
      <c r="B58" s="93"/>
      <c r="C58" s="96"/>
      <c r="D58" s="96"/>
      <c r="E58" s="96"/>
      <c r="F58" s="96"/>
      <c r="G58" s="96"/>
      <c r="H58" s="96"/>
      <c r="I58" s="96"/>
      <c r="J58" s="96"/>
      <c r="K58" s="96"/>
      <c r="L58" s="96"/>
      <c r="M58" s="96"/>
      <c r="N58" s="127"/>
      <c r="O58" s="127"/>
      <c r="P58" s="127"/>
      <c r="Q58" s="127"/>
      <c r="R58" s="127"/>
      <c r="S58" s="127"/>
      <c r="T58" s="127"/>
      <c r="U58" s="127"/>
      <c r="V58" s="127"/>
    </row>
    <row r="59" spans="1:22" ht="27" customHeight="1">
      <c r="A59" s="1318" t="s">
        <v>1179</v>
      </c>
      <c r="B59" s="1318"/>
      <c r="C59" s="1318"/>
      <c r="D59" s="1318"/>
      <c r="E59" s="1318"/>
      <c r="F59" s="1318"/>
      <c r="G59" s="1318"/>
      <c r="H59" s="1318"/>
      <c r="I59" s="1318"/>
      <c r="J59" s="1318"/>
      <c r="K59" s="1318"/>
      <c r="L59" s="1318"/>
      <c r="M59" s="1318"/>
      <c r="N59" s="127"/>
      <c r="O59" s="127"/>
      <c r="P59" s="127"/>
      <c r="Q59" s="127"/>
      <c r="R59" s="127"/>
      <c r="S59" s="127"/>
      <c r="T59" s="127"/>
      <c r="U59" s="127"/>
      <c r="V59" s="127"/>
    </row>
    <row r="60" spans="1:22" ht="12.75" customHeight="1">
      <c r="A60" s="99" t="s">
        <v>648</v>
      </c>
      <c r="B60" s="93"/>
      <c r="C60" s="96"/>
      <c r="D60" s="96"/>
      <c r="E60" s="96"/>
      <c r="F60" s="96"/>
      <c r="G60" s="96"/>
      <c r="H60" s="96"/>
      <c r="I60" s="96"/>
      <c r="J60" s="96"/>
      <c r="K60" s="96"/>
      <c r="L60" s="96"/>
      <c r="M60" s="96"/>
      <c r="N60" s="127"/>
      <c r="O60" s="127"/>
      <c r="P60" s="127"/>
      <c r="Q60" s="127"/>
      <c r="R60" s="127"/>
      <c r="S60" s="127"/>
      <c r="T60" s="127"/>
      <c r="U60" s="127"/>
      <c r="V60" s="127"/>
    </row>
    <row r="61" spans="1:22" ht="12.75" customHeight="1">
      <c r="A61" s="1318" t="s">
        <v>649</v>
      </c>
      <c r="B61" s="1333"/>
      <c r="C61" s="1333"/>
      <c r="D61" s="1333"/>
      <c r="E61" s="1333"/>
      <c r="F61" s="1333"/>
      <c r="G61" s="1333"/>
      <c r="H61" s="1333"/>
      <c r="I61" s="1333"/>
      <c r="J61" s="1333"/>
      <c r="K61" s="1333"/>
      <c r="L61" s="1333"/>
      <c r="M61" s="1318"/>
      <c r="N61" s="127"/>
      <c r="O61" s="127"/>
      <c r="P61" s="127"/>
      <c r="Q61" s="127"/>
      <c r="R61" s="127"/>
      <c r="S61" s="127"/>
      <c r="T61" s="127"/>
      <c r="U61" s="127"/>
      <c r="V61" s="127"/>
    </row>
    <row r="62" spans="1:22" ht="11.25" customHeight="1">
      <c r="A62" s="1334"/>
      <c r="B62" s="1334"/>
      <c r="C62" s="1334"/>
      <c r="D62" s="1334"/>
      <c r="E62" s="1334"/>
      <c r="F62" s="1334"/>
      <c r="G62" s="1334"/>
      <c r="H62" s="1334"/>
      <c r="I62" s="1334"/>
      <c r="J62" s="1334"/>
      <c r="K62" s="1334"/>
      <c r="L62" s="1334"/>
      <c r="M62" s="1334"/>
      <c r="N62" s="127"/>
      <c r="O62" s="127"/>
      <c r="P62" s="127"/>
      <c r="Q62" s="127"/>
      <c r="R62" s="127"/>
      <c r="S62" s="127"/>
      <c r="T62" s="127"/>
      <c r="U62" s="127"/>
      <c r="V62" s="127"/>
    </row>
    <row r="63" spans="1:22" ht="11.25" customHeight="1">
      <c r="A63" s="121" t="s">
        <v>714</v>
      </c>
      <c r="B63" s="93"/>
      <c r="C63" s="102">
        <f t="shared" ref="C63:M63" si="11">C24+C41+C42+C43</f>
        <v>851061462.38</v>
      </c>
      <c r="D63" s="102">
        <f t="shared" si="11"/>
        <v>0</v>
      </c>
      <c r="E63" s="102">
        <f t="shared" si="11"/>
        <v>0</v>
      </c>
      <c r="F63" s="102">
        <f t="shared" si="11"/>
        <v>0</v>
      </c>
      <c r="G63" s="102">
        <f t="shared" si="11"/>
        <v>0</v>
      </c>
      <c r="H63" s="102">
        <f t="shared" si="11"/>
        <v>20350000</v>
      </c>
      <c r="I63" s="102">
        <f t="shared" si="11"/>
        <v>38747614</v>
      </c>
      <c r="J63" s="102">
        <f t="shared" si="11"/>
        <v>59097614</v>
      </c>
      <c r="K63" s="102">
        <f t="shared" si="11"/>
        <v>910159076.38</v>
      </c>
      <c r="L63" s="102">
        <f t="shared" si="11"/>
        <v>920189685.69000006</v>
      </c>
      <c r="M63" s="102">
        <f t="shared" si="11"/>
        <v>1009178004.6799999</v>
      </c>
      <c r="N63" s="127"/>
      <c r="O63" s="127"/>
      <c r="P63" s="127"/>
      <c r="Q63" s="127"/>
      <c r="R63" s="127"/>
      <c r="S63" s="127"/>
      <c r="T63" s="127"/>
      <c r="U63" s="127"/>
      <c r="V63" s="127"/>
    </row>
    <row r="64" spans="1:22" ht="11.25" customHeight="1">
      <c r="A64" s="101"/>
      <c r="B64" s="93"/>
      <c r="C64" s="84"/>
      <c r="D64" s="84"/>
      <c r="E64" s="84"/>
      <c r="F64" s="84"/>
      <c r="G64" s="84"/>
      <c r="H64" s="84"/>
      <c r="I64" s="84"/>
      <c r="J64" s="84"/>
      <c r="K64" s="84"/>
      <c r="L64" s="84"/>
      <c r="M64" s="84"/>
      <c r="N64" s="127"/>
      <c r="O64" s="127"/>
      <c r="P64" s="127"/>
      <c r="Q64" s="127"/>
      <c r="R64" s="127"/>
      <c r="S64" s="127"/>
      <c r="T64" s="127"/>
      <c r="U64" s="127"/>
      <c r="V64" s="127"/>
    </row>
    <row r="65" spans="1:22" ht="11.25" customHeight="1">
      <c r="A65" s="101"/>
      <c r="B65" s="93"/>
      <c r="C65" s="102"/>
      <c r="D65" s="102"/>
      <c r="E65" s="102"/>
      <c r="F65" s="102"/>
      <c r="G65" s="102"/>
      <c r="H65" s="102"/>
      <c r="I65" s="102"/>
      <c r="J65" s="102"/>
      <c r="K65" s="102"/>
      <c r="L65" s="102"/>
      <c r="M65" s="102"/>
      <c r="N65" s="127"/>
      <c r="O65" s="127"/>
      <c r="P65" s="127"/>
      <c r="Q65" s="127"/>
      <c r="R65" s="127"/>
      <c r="S65" s="127"/>
      <c r="T65" s="127"/>
      <c r="U65" s="127"/>
      <c r="V65" s="127"/>
    </row>
    <row r="66" spans="1:22" ht="11.25" customHeight="1">
      <c r="A66" s="101"/>
      <c r="B66" s="93"/>
      <c r="C66" s="102"/>
      <c r="D66" s="102"/>
      <c r="E66" s="102"/>
      <c r="F66" s="102"/>
      <c r="G66" s="102"/>
      <c r="H66" s="102"/>
      <c r="I66" s="102"/>
      <c r="J66" s="102"/>
      <c r="K66" s="102"/>
      <c r="L66" s="102"/>
      <c r="M66" s="102"/>
      <c r="N66" s="127"/>
      <c r="O66" s="127"/>
      <c r="P66" s="127"/>
      <c r="Q66" s="127"/>
      <c r="R66" s="127"/>
      <c r="S66" s="127"/>
      <c r="T66" s="127"/>
      <c r="U66" s="127"/>
      <c r="V66" s="127"/>
    </row>
    <row r="67" spans="1:22" ht="11.25" customHeight="1">
      <c r="A67" s="101"/>
      <c r="B67" s="93"/>
      <c r="C67" s="102"/>
      <c r="D67" s="102"/>
      <c r="E67" s="102"/>
      <c r="F67" s="102"/>
      <c r="G67" s="102"/>
      <c r="H67" s="102"/>
      <c r="I67" s="102"/>
      <c r="J67" s="102"/>
      <c r="K67" s="102"/>
      <c r="L67" s="102"/>
      <c r="M67" s="102"/>
      <c r="N67" s="127"/>
      <c r="O67" s="127"/>
      <c r="P67" s="127"/>
      <c r="Q67" s="127"/>
      <c r="R67" s="127"/>
      <c r="S67" s="127"/>
      <c r="T67" s="127"/>
      <c r="U67" s="127"/>
      <c r="V67" s="127"/>
    </row>
    <row r="68" spans="1:22" ht="11.25" customHeight="1">
      <c r="B68" s="5"/>
      <c r="N68" s="127"/>
      <c r="O68" s="127"/>
      <c r="P68" s="127"/>
      <c r="Q68" s="127"/>
      <c r="R68" s="127"/>
      <c r="S68" s="127"/>
      <c r="T68" s="127"/>
      <c r="U68" s="127"/>
      <c r="V68" s="127"/>
    </row>
    <row r="69" spans="1:22" ht="11.25" customHeight="1">
      <c r="B69" s="5"/>
      <c r="N69" s="127"/>
      <c r="O69" s="127"/>
      <c r="P69" s="127"/>
      <c r="Q69" s="127"/>
      <c r="R69" s="127"/>
      <c r="S69" s="127"/>
      <c r="T69" s="127"/>
      <c r="U69" s="127"/>
      <c r="V69" s="127"/>
    </row>
    <row r="70" spans="1:22" ht="11.25" customHeight="1">
      <c r="B70" s="5"/>
      <c r="N70" s="127"/>
      <c r="O70" s="127"/>
      <c r="P70" s="127"/>
      <c r="Q70" s="127"/>
      <c r="R70" s="127"/>
      <c r="S70" s="127"/>
      <c r="T70" s="127"/>
      <c r="U70" s="127"/>
      <c r="V70" s="127"/>
    </row>
    <row r="71" spans="1:22" ht="11.25" customHeight="1">
      <c r="B71" s="5"/>
      <c r="N71" s="127"/>
      <c r="O71" s="127"/>
      <c r="P71" s="127"/>
      <c r="Q71" s="127"/>
      <c r="R71" s="127"/>
      <c r="S71" s="127"/>
      <c r="T71" s="127"/>
      <c r="U71" s="127"/>
      <c r="V71" s="127"/>
    </row>
    <row r="72" spans="1:22" ht="11.25" customHeight="1">
      <c r="B72" s="5"/>
      <c r="N72" s="127"/>
      <c r="O72" s="127"/>
      <c r="P72" s="127"/>
      <c r="Q72" s="127"/>
      <c r="R72" s="127"/>
      <c r="S72" s="127"/>
      <c r="T72" s="127"/>
      <c r="U72" s="127"/>
      <c r="V72" s="127"/>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c r="B82" s="5"/>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row r="102" ht="11.25" customHeight="1"/>
  </sheetData>
  <sheetProtection sheet="1" objects="1" scenarios="1"/>
  <mergeCells count="10">
    <mergeCell ref="C2:K2"/>
    <mergeCell ref="B2:B4"/>
    <mergeCell ref="A61:M61"/>
    <mergeCell ref="A62:M62"/>
    <mergeCell ref="A54:M54"/>
    <mergeCell ref="A55:M55"/>
    <mergeCell ref="A56:M56"/>
    <mergeCell ref="A57:M57"/>
    <mergeCell ref="A59:M59"/>
    <mergeCell ref="A2:A4"/>
  </mergeCells>
  <phoneticPr fontId="17"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sheetPr codeName="Sheet85" enableFormatConditionsCalculation="0">
    <tabColor indexed="44"/>
    <pageSetUpPr fitToPage="1"/>
  </sheetPr>
  <dimension ref="A1:N126"/>
  <sheetViews>
    <sheetView showGridLines="0" workbookViewId="0">
      <pane xSplit="2" ySplit="5" topLeftCell="C78" activePane="bottomRight" state="frozen"/>
      <selection activeCell="M17" sqref="M17:M63"/>
      <selection pane="topRight" activeCell="M17" sqref="M17:M63"/>
      <selection pane="bottomLeft" activeCell="M17" sqref="M17:M63"/>
      <selection pane="bottomRight" activeCell="M76" sqref="M76"/>
    </sheetView>
  </sheetViews>
  <sheetFormatPr defaultRowHeight="12.7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"&amp;_ADJ5&amp;" - "&amp;Date</f>
        <v>LIM333 Greater Tzaneen - Table B5 Consolidated Adjustments Capital Expenditure Budget by vote and funding - 26 FEBRUARY 2014</v>
      </c>
      <c r="B1" s="5"/>
      <c r="C1" s="58"/>
    </row>
    <row r="2" spans="1:14" ht="38.25">
      <c r="A2" s="1327"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4" ht="25.5">
      <c r="A3" s="1328"/>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52" t="s">
        <v>715</v>
      </c>
      <c r="B6" s="73"/>
      <c r="C6" s="74"/>
      <c r="D6" s="75"/>
      <c r="E6" s="75"/>
      <c r="F6" s="75"/>
      <c r="G6" s="75"/>
      <c r="H6" s="75"/>
      <c r="I6" s="75"/>
      <c r="J6" s="75"/>
      <c r="K6" s="75"/>
      <c r="L6" s="75"/>
      <c r="M6" s="76"/>
    </row>
    <row r="7" spans="1:14" ht="12.75" customHeight="1">
      <c r="A7" s="125" t="s">
        <v>1289</v>
      </c>
      <c r="B7" s="73">
        <v>2</v>
      </c>
      <c r="C7" s="74"/>
      <c r="D7" s="171"/>
      <c r="E7" s="171"/>
      <c r="F7" s="171"/>
      <c r="G7" s="171"/>
      <c r="H7" s="171"/>
      <c r="I7" s="171"/>
      <c r="J7" s="171"/>
      <c r="K7" s="171"/>
      <c r="L7" s="171"/>
      <c r="M7" s="235"/>
      <c r="N7" s="127"/>
    </row>
    <row r="8" spans="1:14" ht="12.75" customHeight="1">
      <c r="A8" s="986" t="str">
        <f>B5B!A8</f>
        <v>Vote 1 - Municipal Manager</v>
      </c>
      <c r="B8" s="73"/>
      <c r="C8" s="803">
        <f>B5B!C8</f>
        <v>409000</v>
      </c>
      <c r="D8" s="171">
        <f>B5B!D8</f>
        <v>0</v>
      </c>
      <c r="E8" s="171">
        <f>B5B!E8</f>
        <v>0</v>
      </c>
      <c r="F8" s="171">
        <f>B5B!F8</f>
        <v>0</v>
      </c>
      <c r="G8" s="171">
        <f>B5B!G8</f>
        <v>0</v>
      </c>
      <c r="H8" s="171">
        <f>B5B!H8</f>
        <v>0</v>
      </c>
      <c r="I8" s="171">
        <f>B5B!I8</f>
        <v>-370000</v>
      </c>
      <c r="J8" s="171">
        <f t="shared" ref="J8:J22" si="0">SUM(E8:I8)</f>
        <v>-370000</v>
      </c>
      <c r="K8" s="171">
        <f t="shared" ref="K8:K22" si="1">IF(D8=0,C8+J8,D8+J8)</f>
        <v>39000</v>
      </c>
      <c r="L8" s="171">
        <f>B5B!L8</f>
        <v>850000</v>
      </c>
      <c r="M8" s="235">
        <f>B5B!M8</f>
        <v>550000</v>
      </c>
      <c r="N8" s="876"/>
    </row>
    <row r="9" spans="1:14" ht="12.75" customHeight="1">
      <c r="A9" s="986" t="str">
        <f>B5B!A19</f>
        <v>Vote 2 - Planning &amp; Economic Development</v>
      </c>
      <c r="B9" s="73"/>
      <c r="C9" s="803">
        <f>B5B!C19</f>
        <v>7565000</v>
      </c>
      <c r="D9" s="171">
        <f>B5B!D19</f>
        <v>0</v>
      </c>
      <c r="E9" s="171">
        <f>B5B!E19</f>
        <v>0</v>
      </c>
      <c r="F9" s="171">
        <f>B5B!F19</f>
        <v>0</v>
      </c>
      <c r="G9" s="171">
        <f>B5B!G19</f>
        <v>0</v>
      </c>
      <c r="H9" s="171">
        <f>B5B!H19</f>
        <v>18350000</v>
      </c>
      <c r="I9" s="171">
        <f>B5B!I19</f>
        <v>6870000</v>
      </c>
      <c r="J9" s="171">
        <f t="shared" si="0"/>
        <v>25220000</v>
      </c>
      <c r="K9" s="171">
        <f t="shared" si="1"/>
        <v>32785000</v>
      </c>
      <c r="L9" s="171">
        <f>B5B!L19</f>
        <v>5525000</v>
      </c>
      <c r="M9" s="235">
        <f>B5B!M19</f>
        <v>14027500</v>
      </c>
      <c r="N9" s="876"/>
    </row>
    <row r="10" spans="1:14" ht="12.75" customHeight="1">
      <c r="A10" s="986" t="str">
        <f>B5B!A30</f>
        <v>Vote 3 - Financial Services</v>
      </c>
      <c r="B10" s="73"/>
      <c r="C10" s="803">
        <f>B5B!C30</f>
        <v>500000</v>
      </c>
      <c r="D10" s="171">
        <f>B5B!D30</f>
        <v>0</v>
      </c>
      <c r="E10" s="171">
        <f>B5B!E30</f>
        <v>0</v>
      </c>
      <c r="F10" s="171">
        <f>B5B!F30</f>
        <v>0</v>
      </c>
      <c r="G10" s="171">
        <f>B5B!G30</f>
        <v>0</v>
      </c>
      <c r="H10" s="171">
        <f>B5B!H30</f>
        <v>0</v>
      </c>
      <c r="I10" s="171">
        <f>B5B!I30</f>
        <v>-400000</v>
      </c>
      <c r="J10" s="171">
        <f t="shared" si="0"/>
        <v>-400000</v>
      </c>
      <c r="K10" s="171">
        <f t="shared" si="1"/>
        <v>100000</v>
      </c>
      <c r="L10" s="171">
        <f>B5B!L30</f>
        <v>500000</v>
      </c>
      <c r="M10" s="235">
        <f>B5B!M30</f>
        <v>500000</v>
      </c>
      <c r="N10" s="874"/>
    </row>
    <row r="11" spans="1:14" ht="12.75" customHeight="1">
      <c r="A11" s="986" t="str">
        <f>B5B!A41</f>
        <v>Vote 4 - Corporate Services</v>
      </c>
      <c r="B11" s="73"/>
      <c r="C11" s="803">
        <f>B5B!C41</f>
        <v>860500</v>
      </c>
      <c r="D11" s="171">
        <f>B5B!D41</f>
        <v>0</v>
      </c>
      <c r="E11" s="171">
        <f>B5B!E41</f>
        <v>0</v>
      </c>
      <c r="F11" s="171">
        <f>B5B!F41</f>
        <v>0</v>
      </c>
      <c r="G11" s="171">
        <f>B5B!G41</f>
        <v>0</v>
      </c>
      <c r="H11" s="171">
        <f>B5B!H41</f>
        <v>0</v>
      </c>
      <c r="I11" s="171">
        <f>B5B!I41</f>
        <v>-120000</v>
      </c>
      <c r="J11" s="171">
        <f t="shared" si="0"/>
        <v>-120000</v>
      </c>
      <c r="K11" s="171">
        <f t="shared" si="1"/>
        <v>740500</v>
      </c>
      <c r="L11" s="171">
        <f>B5B!L41</f>
        <v>1000000</v>
      </c>
      <c r="M11" s="235">
        <f>B5B!M41</f>
        <v>500000</v>
      </c>
      <c r="N11" s="874"/>
    </row>
    <row r="12" spans="1:14" ht="12.75" customHeight="1">
      <c r="A12" s="986" t="str">
        <f>B5B!A52</f>
        <v>Vote 5 - Community Services</v>
      </c>
      <c r="B12" s="73"/>
      <c r="C12" s="803">
        <f>B5B!C52</f>
        <v>100000</v>
      </c>
      <c r="D12" s="171">
        <f>B5B!D52</f>
        <v>0</v>
      </c>
      <c r="E12" s="171">
        <f>B5B!E52</f>
        <v>0</v>
      </c>
      <c r="F12" s="171">
        <f>B5B!F52</f>
        <v>0</v>
      </c>
      <c r="G12" s="171">
        <f>B5B!G52</f>
        <v>0</v>
      </c>
      <c r="H12" s="171">
        <f>B5B!H52</f>
        <v>0</v>
      </c>
      <c r="I12" s="171">
        <f>B5B!I52</f>
        <v>0</v>
      </c>
      <c r="J12" s="171">
        <f t="shared" si="0"/>
        <v>0</v>
      </c>
      <c r="K12" s="171">
        <f t="shared" si="1"/>
        <v>100000</v>
      </c>
      <c r="L12" s="171">
        <f>B5B!L52</f>
        <v>4025000</v>
      </c>
      <c r="M12" s="235">
        <f>B5B!M52</f>
        <v>1430000</v>
      </c>
      <c r="N12" s="874"/>
    </row>
    <row r="13" spans="1:14" ht="12.75" customHeight="1">
      <c r="A13" s="986" t="str">
        <f>B5B!A63</f>
        <v>Vote 6 - Community Services</v>
      </c>
      <c r="B13" s="73"/>
      <c r="C13" s="803">
        <f>B5B!C63</f>
        <v>500000</v>
      </c>
      <c r="D13" s="171">
        <f>B5B!D63</f>
        <v>0</v>
      </c>
      <c r="E13" s="171">
        <f>B5B!E63</f>
        <v>0</v>
      </c>
      <c r="F13" s="171">
        <f>B5B!F63</f>
        <v>0</v>
      </c>
      <c r="G13" s="171">
        <f>B5B!G63</f>
        <v>0</v>
      </c>
      <c r="H13" s="171">
        <f>B5B!H63</f>
        <v>0</v>
      </c>
      <c r="I13" s="171">
        <f>B5B!I63</f>
        <v>-470000</v>
      </c>
      <c r="J13" s="171">
        <f t="shared" si="0"/>
        <v>-470000</v>
      </c>
      <c r="K13" s="171">
        <f t="shared" si="1"/>
        <v>30000</v>
      </c>
      <c r="L13" s="171">
        <f>B5B!L63</f>
        <v>500000</v>
      </c>
      <c r="M13" s="235">
        <f>B5B!M63</f>
        <v>1035000</v>
      </c>
      <c r="N13" s="874"/>
    </row>
    <row r="14" spans="1:14" ht="12.75" customHeight="1">
      <c r="A14" s="986" t="str">
        <f>B5B!A74</f>
        <v>Vote 7 - Electrical Engineering Services</v>
      </c>
      <c r="B14" s="73"/>
      <c r="C14" s="803">
        <f>B5B!C74</f>
        <v>39500000</v>
      </c>
      <c r="D14" s="171">
        <f>B5B!D74</f>
        <v>0</v>
      </c>
      <c r="E14" s="171">
        <f>B5B!E74</f>
        <v>0</v>
      </c>
      <c r="F14" s="171">
        <f>B5B!F74</f>
        <v>0</v>
      </c>
      <c r="G14" s="171">
        <f>B5B!G74</f>
        <v>0</v>
      </c>
      <c r="H14" s="171">
        <f>B5B!H74</f>
        <v>2000000</v>
      </c>
      <c r="I14" s="171">
        <f>B5B!I74</f>
        <v>-5690000</v>
      </c>
      <c r="J14" s="171">
        <f t="shared" si="0"/>
        <v>-3690000</v>
      </c>
      <c r="K14" s="171">
        <f t="shared" si="1"/>
        <v>35810000</v>
      </c>
      <c r="L14" s="171">
        <f>B5B!L74</f>
        <v>43469120</v>
      </c>
      <c r="M14" s="235">
        <f>B5B!M74</f>
        <v>75182130</v>
      </c>
      <c r="N14" s="874"/>
    </row>
    <row r="15" spans="1:14" ht="12.75" customHeight="1">
      <c r="A15" s="986" t="str">
        <f>B5B!A85</f>
        <v>Vote 8 - Engineering Services</v>
      </c>
      <c r="B15" s="73"/>
      <c r="C15" s="803">
        <f>B5B!C85</f>
        <v>116195347</v>
      </c>
      <c r="D15" s="171">
        <f>B5B!D85</f>
        <v>0</v>
      </c>
      <c r="E15" s="171">
        <f>B5B!E85</f>
        <v>0</v>
      </c>
      <c r="F15" s="171">
        <f>B5B!F85</f>
        <v>0</v>
      </c>
      <c r="G15" s="171">
        <f>B5B!G85</f>
        <v>0</v>
      </c>
      <c r="H15" s="171">
        <f>B5B!H85</f>
        <v>0</v>
      </c>
      <c r="I15" s="171">
        <f>B5B!I85</f>
        <v>31682614</v>
      </c>
      <c r="J15" s="171">
        <f t="shared" si="0"/>
        <v>31682614</v>
      </c>
      <c r="K15" s="171">
        <f t="shared" si="1"/>
        <v>147877961</v>
      </c>
      <c r="L15" s="171">
        <f>B5B!L85</f>
        <v>111143556</v>
      </c>
      <c r="M15" s="235">
        <f>B5B!M85</f>
        <v>122528218</v>
      </c>
      <c r="N15" s="874"/>
    </row>
    <row r="16" spans="1:14" ht="12.75" customHeight="1">
      <c r="A16" s="986" t="str">
        <f>B5B!A96</f>
        <v>Vote 9 - [NAME OF VOTE 9]</v>
      </c>
      <c r="B16" s="73"/>
      <c r="C16" s="803">
        <f>B5B!C96</f>
        <v>0</v>
      </c>
      <c r="D16" s="171">
        <f>B5B!D96</f>
        <v>0</v>
      </c>
      <c r="E16" s="171">
        <f>B5B!E96</f>
        <v>0</v>
      </c>
      <c r="F16" s="171">
        <f>B5B!F96</f>
        <v>0</v>
      </c>
      <c r="G16" s="171">
        <f>B5B!G96</f>
        <v>0</v>
      </c>
      <c r="H16" s="171">
        <f>B5B!H96</f>
        <v>0</v>
      </c>
      <c r="I16" s="171">
        <f>B5B!I96</f>
        <v>0</v>
      </c>
      <c r="J16" s="171">
        <f t="shared" si="0"/>
        <v>0</v>
      </c>
      <c r="K16" s="171">
        <f t="shared" si="1"/>
        <v>0</v>
      </c>
      <c r="L16" s="171">
        <f>B5B!L96</f>
        <v>0</v>
      </c>
      <c r="M16" s="235">
        <f>B5B!M96</f>
        <v>0</v>
      </c>
      <c r="N16" s="874"/>
    </row>
    <row r="17" spans="1:14" ht="12.75" customHeight="1">
      <c r="A17" s="986" t="str">
        <f>B5B!A107</f>
        <v>Vote 10 - [NAME OF VOTE 10]</v>
      </c>
      <c r="B17" s="73"/>
      <c r="C17" s="803">
        <f>B5B!C107</f>
        <v>0</v>
      </c>
      <c r="D17" s="171">
        <f>B5B!D107</f>
        <v>0</v>
      </c>
      <c r="E17" s="171">
        <f>B5B!E107</f>
        <v>0</v>
      </c>
      <c r="F17" s="171">
        <f>B5B!F107</f>
        <v>0</v>
      </c>
      <c r="G17" s="171">
        <f>B5B!G107</f>
        <v>0</v>
      </c>
      <c r="H17" s="171">
        <f>B5B!H107</f>
        <v>0</v>
      </c>
      <c r="I17" s="171">
        <f>B5B!I107</f>
        <v>0</v>
      </c>
      <c r="J17" s="171">
        <f t="shared" si="0"/>
        <v>0</v>
      </c>
      <c r="K17" s="171">
        <f t="shared" si="1"/>
        <v>0</v>
      </c>
      <c r="L17" s="171">
        <f>B5B!L107</f>
        <v>0</v>
      </c>
      <c r="M17" s="235">
        <f>B5B!M107</f>
        <v>0</v>
      </c>
      <c r="N17" s="874"/>
    </row>
    <row r="18" spans="1:14" ht="12.75" customHeight="1">
      <c r="A18" s="986" t="str">
        <f>B5B!A118</f>
        <v>Vote 11 - [NAME OF VOTE 11]</v>
      </c>
      <c r="B18" s="73"/>
      <c r="C18" s="803">
        <f>B5B!C118</f>
        <v>0</v>
      </c>
      <c r="D18" s="171">
        <f>B5B!D118</f>
        <v>0</v>
      </c>
      <c r="E18" s="171">
        <f>B5B!E118</f>
        <v>0</v>
      </c>
      <c r="F18" s="171">
        <f>B5B!F118</f>
        <v>0</v>
      </c>
      <c r="G18" s="171">
        <f>B5B!G118</f>
        <v>0</v>
      </c>
      <c r="H18" s="171">
        <f>B5B!H118</f>
        <v>0</v>
      </c>
      <c r="I18" s="171">
        <f>B5B!I118</f>
        <v>0</v>
      </c>
      <c r="J18" s="171">
        <f t="shared" si="0"/>
        <v>0</v>
      </c>
      <c r="K18" s="171">
        <f t="shared" si="1"/>
        <v>0</v>
      </c>
      <c r="L18" s="171">
        <f>B5B!L118</f>
        <v>0</v>
      </c>
      <c r="M18" s="235">
        <f>B5B!M118</f>
        <v>0</v>
      </c>
      <c r="N18" s="874"/>
    </row>
    <row r="19" spans="1:14" ht="12.75" customHeight="1">
      <c r="A19" s="986" t="str">
        <f>B5B!A129</f>
        <v>Vote 12 - [NAME OF VOTE 12]</v>
      </c>
      <c r="B19" s="73"/>
      <c r="C19" s="803">
        <f>B5B!C129</f>
        <v>0</v>
      </c>
      <c r="D19" s="171">
        <f>B5B!D129</f>
        <v>0</v>
      </c>
      <c r="E19" s="171">
        <f>B5B!E129</f>
        <v>0</v>
      </c>
      <c r="F19" s="171">
        <f>B5B!F129</f>
        <v>0</v>
      </c>
      <c r="G19" s="171">
        <f>B5B!G129</f>
        <v>0</v>
      </c>
      <c r="H19" s="171">
        <f>B5B!H129</f>
        <v>0</v>
      </c>
      <c r="I19" s="171">
        <f>B5B!I129</f>
        <v>0</v>
      </c>
      <c r="J19" s="171">
        <f t="shared" si="0"/>
        <v>0</v>
      </c>
      <c r="K19" s="171">
        <f t="shared" si="1"/>
        <v>0</v>
      </c>
      <c r="L19" s="171">
        <f>B5B!L129</f>
        <v>0</v>
      </c>
      <c r="M19" s="235">
        <f>B5B!M129</f>
        <v>0</v>
      </c>
      <c r="N19" s="874"/>
    </row>
    <row r="20" spans="1:14" ht="12.75" customHeight="1">
      <c r="A20" s="986" t="str">
        <f>B5B!A140</f>
        <v>Vote 13 - [NAME OF VOTE 13]</v>
      </c>
      <c r="B20" s="73"/>
      <c r="C20" s="803">
        <f>B5B!C140</f>
        <v>0</v>
      </c>
      <c r="D20" s="171">
        <f>B5B!D140</f>
        <v>0</v>
      </c>
      <c r="E20" s="171">
        <f>B5B!E140</f>
        <v>0</v>
      </c>
      <c r="F20" s="171">
        <f>B5B!F140</f>
        <v>0</v>
      </c>
      <c r="G20" s="171">
        <f>B5B!G140</f>
        <v>0</v>
      </c>
      <c r="H20" s="171">
        <f>B5B!H140</f>
        <v>0</v>
      </c>
      <c r="I20" s="171">
        <f>B5B!I140</f>
        <v>0</v>
      </c>
      <c r="J20" s="171">
        <f t="shared" si="0"/>
        <v>0</v>
      </c>
      <c r="K20" s="171">
        <f t="shared" si="1"/>
        <v>0</v>
      </c>
      <c r="L20" s="171">
        <f>B5B!L140</f>
        <v>0</v>
      </c>
      <c r="M20" s="235">
        <f>B5B!M140</f>
        <v>0</v>
      </c>
      <c r="N20" s="874"/>
    </row>
    <row r="21" spans="1:14" ht="12.75" customHeight="1">
      <c r="A21" s="986" t="str">
        <f>B5B!A151</f>
        <v>Vote 14 - [NAME OF VOTE 14]</v>
      </c>
      <c r="B21" s="73"/>
      <c r="C21" s="803">
        <f>B5B!C151</f>
        <v>0</v>
      </c>
      <c r="D21" s="171">
        <f>B5B!D151</f>
        <v>0</v>
      </c>
      <c r="E21" s="171">
        <f>B5B!E151</f>
        <v>0</v>
      </c>
      <c r="F21" s="171">
        <f>B5B!F151</f>
        <v>0</v>
      </c>
      <c r="G21" s="171">
        <f>B5B!G151</f>
        <v>0</v>
      </c>
      <c r="H21" s="171">
        <f>B5B!H151</f>
        <v>0</v>
      </c>
      <c r="I21" s="171">
        <f>B5B!I151</f>
        <v>0</v>
      </c>
      <c r="J21" s="171">
        <f t="shared" si="0"/>
        <v>0</v>
      </c>
      <c r="K21" s="171">
        <f t="shared" si="1"/>
        <v>0</v>
      </c>
      <c r="L21" s="171">
        <f>B5B!L151</f>
        <v>0</v>
      </c>
      <c r="M21" s="235">
        <f>B5B!M151</f>
        <v>0</v>
      </c>
      <c r="N21" s="874"/>
    </row>
    <row r="22" spans="1:14" ht="12.75" customHeight="1">
      <c r="A22" s="986" t="str">
        <f>B5B!A162</f>
        <v>Vote 15 - [NAME OF VOTE 15]</v>
      </c>
      <c r="B22" s="73"/>
      <c r="C22" s="803">
        <f>B5B!C162</f>
        <v>0</v>
      </c>
      <c r="D22" s="171">
        <f>B5B!D162</f>
        <v>0</v>
      </c>
      <c r="E22" s="171">
        <f>B5B!E162</f>
        <v>0</v>
      </c>
      <c r="F22" s="171">
        <f>B5B!F162</f>
        <v>0</v>
      </c>
      <c r="G22" s="171">
        <f>B5B!G162</f>
        <v>0</v>
      </c>
      <c r="H22" s="171">
        <f>B5B!H162</f>
        <v>0</v>
      </c>
      <c r="I22" s="171">
        <f>B5B!I162</f>
        <v>0</v>
      </c>
      <c r="J22" s="171">
        <f t="shared" si="0"/>
        <v>0</v>
      </c>
      <c r="K22" s="171">
        <f t="shared" si="1"/>
        <v>0</v>
      </c>
      <c r="L22" s="171">
        <f>B5B!L162</f>
        <v>0</v>
      </c>
      <c r="M22" s="235">
        <f>B5B!M162</f>
        <v>0</v>
      </c>
      <c r="N22" s="874"/>
    </row>
    <row r="23" spans="1:14" ht="12.75" customHeight="1">
      <c r="A23" s="778" t="s">
        <v>716</v>
      </c>
      <c r="B23" s="73">
        <v>3</v>
      </c>
      <c r="C23" s="804">
        <f>SUM(C8:C22)</f>
        <v>165629847</v>
      </c>
      <c r="D23" s="595">
        <f t="shared" ref="D23:I23" si="2">SUM(D8:D22)</f>
        <v>0</v>
      </c>
      <c r="E23" s="595">
        <f t="shared" si="2"/>
        <v>0</v>
      </c>
      <c r="F23" s="595">
        <f t="shared" si="2"/>
        <v>0</v>
      </c>
      <c r="G23" s="595">
        <f t="shared" si="2"/>
        <v>0</v>
      </c>
      <c r="H23" s="595">
        <f t="shared" si="2"/>
        <v>20350000</v>
      </c>
      <c r="I23" s="595">
        <f t="shared" si="2"/>
        <v>31502614</v>
      </c>
      <c r="J23" s="595">
        <f>SUM(J8:J22)</f>
        <v>51852614</v>
      </c>
      <c r="K23" s="595">
        <f>SUM(K8:K22)</f>
        <v>217482461</v>
      </c>
      <c r="L23" s="595">
        <f>SUM(L8:L22)</f>
        <v>167012676</v>
      </c>
      <c r="M23" s="740">
        <f>SUM(M8:M22)</f>
        <v>215752848</v>
      </c>
      <c r="N23" s="566"/>
    </row>
    <row r="24" spans="1:14" ht="5.0999999999999996" customHeight="1">
      <c r="A24" s="135"/>
      <c r="B24" s="73"/>
      <c r="C24" s="75"/>
      <c r="D24" s="171"/>
      <c r="E24" s="171"/>
      <c r="F24" s="171"/>
      <c r="G24" s="171"/>
      <c r="H24" s="171"/>
      <c r="I24" s="171"/>
      <c r="J24" s="171"/>
      <c r="K24" s="171"/>
      <c r="L24" s="171"/>
      <c r="M24" s="235"/>
      <c r="N24" s="127"/>
    </row>
    <row r="25" spans="1:14" ht="12.75" customHeight="1">
      <c r="A25" s="52" t="s">
        <v>1290</v>
      </c>
      <c r="B25" s="136">
        <v>2</v>
      </c>
      <c r="C25" s="805"/>
      <c r="D25" s="171"/>
      <c r="E25" s="171"/>
      <c r="F25" s="171"/>
      <c r="G25" s="171"/>
      <c r="H25" s="171"/>
      <c r="I25" s="171"/>
      <c r="J25" s="171"/>
      <c r="K25" s="171"/>
      <c r="L25" s="171"/>
      <c r="M25" s="235"/>
      <c r="N25" s="127"/>
    </row>
    <row r="26" spans="1:14" ht="12.75" customHeight="1">
      <c r="A26" s="986" t="str">
        <f>B5B!A177</f>
        <v>Vote 1 - Municipal Manager</v>
      </c>
      <c r="B26" s="136"/>
      <c r="C26" s="805">
        <f>B5B!C177</f>
        <v>0</v>
      </c>
      <c r="D26" s="131">
        <f>B5B!D177</f>
        <v>0</v>
      </c>
      <c r="E26" s="131">
        <f>B5B!E177</f>
        <v>0</v>
      </c>
      <c r="F26" s="131">
        <f>B5B!F177</f>
        <v>0</v>
      </c>
      <c r="G26" s="131">
        <f>B5B!G177</f>
        <v>0</v>
      </c>
      <c r="H26" s="131">
        <f>B5B!H177</f>
        <v>0</v>
      </c>
      <c r="I26" s="131">
        <f>B5B!I177</f>
        <v>0</v>
      </c>
      <c r="J26" s="171">
        <f t="shared" ref="J26:J40" si="3">SUM(E26:I26)</f>
        <v>0</v>
      </c>
      <c r="K26" s="171">
        <f t="shared" ref="K26:K40" si="4">IF(D26=0,C26+J26,D26+J26)</f>
        <v>0</v>
      </c>
      <c r="L26" s="131">
        <f>B5B!L177</f>
        <v>0</v>
      </c>
      <c r="M26" s="132">
        <f>B5B!M177</f>
        <v>0</v>
      </c>
      <c r="N26" s="876"/>
    </row>
    <row r="27" spans="1:14" ht="12.75" customHeight="1">
      <c r="A27" s="986" t="str">
        <f>B5B!A188</f>
        <v>Vote 2 - Planning &amp; Economic Development</v>
      </c>
      <c r="B27" s="136"/>
      <c r="C27" s="805">
        <f>B5B!C188</f>
        <v>0</v>
      </c>
      <c r="D27" s="131">
        <f>B5B!D188</f>
        <v>0</v>
      </c>
      <c r="E27" s="131">
        <f>B5B!E188</f>
        <v>0</v>
      </c>
      <c r="F27" s="131">
        <f>B5B!F188</f>
        <v>0</v>
      </c>
      <c r="G27" s="131">
        <f>B5B!G188</f>
        <v>0</v>
      </c>
      <c r="H27" s="131">
        <f>B5B!H188</f>
        <v>0</v>
      </c>
      <c r="I27" s="131">
        <f>B5B!I188</f>
        <v>0</v>
      </c>
      <c r="J27" s="171">
        <f t="shared" si="3"/>
        <v>0</v>
      </c>
      <c r="K27" s="171">
        <f t="shared" si="4"/>
        <v>0</v>
      </c>
      <c r="L27" s="131">
        <f>B5B!L188</f>
        <v>0</v>
      </c>
      <c r="M27" s="132">
        <f>B5B!M188</f>
        <v>0</v>
      </c>
      <c r="N27" s="876"/>
    </row>
    <row r="28" spans="1:14" ht="12.75" customHeight="1">
      <c r="A28" s="986" t="str">
        <f>B5B!A199</f>
        <v>Vote 3 - Financial Services</v>
      </c>
      <c r="B28" s="136"/>
      <c r="C28" s="805">
        <f>B5B!C199</f>
        <v>0</v>
      </c>
      <c r="D28" s="131">
        <f>B5B!D199</f>
        <v>0</v>
      </c>
      <c r="E28" s="131">
        <f>B5B!E199</f>
        <v>0</v>
      </c>
      <c r="F28" s="131">
        <f>B5B!F199</f>
        <v>0</v>
      </c>
      <c r="G28" s="131">
        <f>B5B!G199</f>
        <v>0</v>
      </c>
      <c r="H28" s="131">
        <f>B5B!H199</f>
        <v>0</v>
      </c>
      <c r="I28" s="131">
        <f>B5B!I199</f>
        <v>0</v>
      </c>
      <c r="J28" s="171">
        <f t="shared" si="3"/>
        <v>0</v>
      </c>
      <c r="K28" s="171">
        <f t="shared" si="4"/>
        <v>0</v>
      </c>
      <c r="L28" s="131">
        <f>B5B!L199</f>
        <v>0</v>
      </c>
      <c r="M28" s="132">
        <f>B5B!M199</f>
        <v>0</v>
      </c>
      <c r="N28" s="874"/>
    </row>
    <row r="29" spans="1:14" ht="12.75" customHeight="1">
      <c r="A29" s="986" t="str">
        <f>B5B!A210</f>
        <v>Vote 4 - Corporate Services</v>
      </c>
      <c r="B29" s="136"/>
      <c r="C29" s="805">
        <f>B5B!C210</f>
        <v>0</v>
      </c>
      <c r="D29" s="131">
        <f>B5B!D210</f>
        <v>0</v>
      </c>
      <c r="E29" s="131">
        <f>B5B!E210</f>
        <v>0</v>
      </c>
      <c r="F29" s="131">
        <f>B5B!F210</f>
        <v>0</v>
      </c>
      <c r="G29" s="131">
        <f>B5B!G210</f>
        <v>0</v>
      </c>
      <c r="H29" s="131">
        <f>B5B!H210</f>
        <v>0</v>
      </c>
      <c r="I29" s="131">
        <f>B5B!I210</f>
        <v>0</v>
      </c>
      <c r="J29" s="171">
        <f t="shared" si="3"/>
        <v>0</v>
      </c>
      <c r="K29" s="171">
        <f t="shared" si="4"/>
        <v>0</v>
      </c>
      <c r="L29" s="131">
        <f>B5B!L210</f>
        <v>0</v>
      </c>
      <c r="M29" s="132">
        <f>B5B!M210</f>
        <v>0</v>
      </c>
      <c r="N29" s="874"/>
    </row>
    <row r="30" spans="1:14" ht="12.75" customHeight="1">
      <c r="A30" s="986" t="str">
        <f>B5B!A221</f>
        <v>Vote 5 - Community Services</v>
      </c>
      <c r="B30" s="136"/>
      <c r="C30" s="805">
        <f>B5B!C221</f>
        <v>0</v>
      </c>
      <c r="D30" s="131">
        <f>B5B!D221</f>
        <v>0</v>
      </c>
      <c r="E30" s="131">
        <f>B5B!E221</f>
        <v>0</v>
      </c>
      <c r="F30" s="131">
        <f>B5B!F221</f>
        <v>0</v>
      </c>
      <c r="G30" s="131">
        <f>B5B!G221</f>
        <v>0</v>
      </c>
      <c r="H30" s="131">
        <f>B5B!H221</f>
        <v>0</v>
      </c>
      <c r="I30" s="131">
        <f>B5B!I221</f>
        <v>0</v>
      </c>
      <c r="J30" s="171">
        <f t="shared" si="3"/>
        <v>0</v>
      </c>
      <c r="K30" s="171">
        <f t="shared" si="4"/>
        <v>0</v>
      </c>
      <c r="L30" s="131">
        <f>B5B!L221</f>
        <v>0</v>
      </c>
      <c r="M30" s="132">
        <f>B5B!M221</f>
        <v>0</v>
      </c>
      <c r="N30" s="874"/>
    </row>
    <row r="31" spans="1:14" ht="12.75" customHeight="1">
      <c r="A31" s="986" t="str">
        <f>B5B!A232</f>
        <v>Vote 6 - Community Services</v>
      </c>
      <c r="B31" s="136"/>
      <c r="C31" s="805">
        <f>B5B!C232</f>
        <v>0</v>
      </c>
      <c r="D31" s="131">
        <f>B5B!D232</f>
        <v>0</v>
      </c>
      <c r="E31" s="131">
        <f>B5B!E232</f>
        <v>0</v>
      </c>
      <c r="F31" s="131">
        <f>B5B!F232</f>
        <v>0</v>
      </c>
      <c r="G31" s="131">
        <f>B5B!G232</f>
        <v>0</v>
      </c>
      <c r="H31" s="131">
        <f>B5B!H232</f>
        <v>0</v>
      </c>
      <c r="I31" s="131">
        <f>B5B!I232</f>
        <v>0</v>
      </c>
      <c r="J31" s="171">
        <f t="shared" si="3"/>
        <v>0</v>
      </c>
      <c r="K31" s="171">
        <f t="shared" si="4"/>
        <v>0</v>
      </c>
      <c r="L31" s="131">
        <f>B5B!L232</f>
        <v>0</v>
      </c>
      <c r="M31" s="132">
        <f>B5B!M232</f>
        <v>0</v>
      </c>
      <c r="N31" s="874"/>
    </row>
    <row r="32" spans="1:14" ht="12.75" customHeight="1">
      <c r="A32" s="986" t="str">
        <f>B5B!A243</f>
        <v>Vote 7 - Electrical Engineering Services</v>
      </c>
      <c r="B32" s="136"/>
      <c r="C32" s="805">
        <f>B5B!C243</f>
        <v>0</v>
      </c>
      <c r="D32" s="131">
        <f>B5B!D243</f>
        <v>0</v>
      </c>
      <c r="E32" s="131">
        <f>B5B!E243</f>
        <v>0</v>
      </c>
      <c r="F32" s="131">
        <f>B5B!F243</f>
        <v>0</v>
      </c>
      <c r="G32" s="131">
        <f>B5B!G243</f>
        <v>0</v>
      </c>
      <c r="H32" s="131">
        <f>B5B!H243</f>
        <v>0</v>
      </c>
      <c r="I32" s="131">
        <f>B5B!I243</f>
        <v>0</v>
      </c>
      <c r="J32" s="171">
        <f t="shared" si="3"/>
        <v>0</v>
      </c>
      <c r="K32" s="171">
        <f t="shared" si="4"/>
        <v>0</v>
      </c>
      <c r="L32" s="131">
        <f>B5B!L243</f>
        <v>0</v>
      </c>
      <c r="M32" s="132">
        <f>B5B!M243</f>
        <v>0</v>
      </c>
      <c r="N32" s="874"/>
    </row>
    <row r="33" spans="1:14" ht="12.75" customHeight="1">
      <c r="A33" s="986" t="str">
        <f>B5B!A254</f>
        <v>Vote 8 - Engineering Services</v>
      </c>
      <c r="B33" s="136"/>
      <c r="C33" s="805">
        <f>B5B!C254</f>
        <v>0</v>
      </c>
      <c r="D33" s="131">
        <f>B5B!D254</f>
        <v>0</v>
      </c>
      <c r="E33" s="131">
        <f>B5B!E254</f>
        <v>0</v>
      </c>
      <c r="F33" s="131">
        <f>B5B!F254</f>
        <v>0</v>
      </c>
      <c r="G33" s="131">
        <f>B5B!G254</f>
        <v>0</v>
      </c>
      <c r="H33" s="131">
        <f>B5B!H254</f>
        <v>0</v>
      </c>
      <c r="I33" s="131">
        <f>B5B!I254</f>
        <v>0</v>
      </c>
      <c r="J33" s="171">
        <f t="shared" si="3"/>
        <v>0</v>
      </c>
      <c r="K33" s="171">
        <f t="shared" si="4"/>
        <v>0</v>
      </c>
      <c r="L33" s="131">
        <f>B5B!L254</f>
        <v>0</v>
      </c>
      <c r="M33" s="132">
        <f>B5B!M254</f>
        <v>0</v>
      </c>
      <c r="N33" s="874"/>
    </row>
    <row r="34" spans="1:14" ht="12.75" customHeight="1">
      <c r="A34" s="986" t="str">
        <f>B5B!A265</f>
        <v>Vote 9 - [NAME OF VOTE 9]</v>
      </c>
      <c r="B34" s="136"/>
      <c r="C34" s="805">
        <f>B5B!C265</f>
        <v>0</v>
      </c>
      <c r="D34" s="131">
        <f>B5B!D265</f>
        <v>0</v>
      </c>
      <c r="E34" s="131">
        <f>B5B!E265</f>
        <v>0</v>
      </c>
      <c r="F34" s="131">
        <f>B5B!F265</f>
        <v>0</v>
      </c>
      <c r="G34" s="131">
        <f>B5B!G265</f>
        <v>0</v>
      </c>
      <c r="H34" s="131">
        <f>B5B!H265</f>
        <v>0</v>
      </c>
      <c r="I34" s="131">
        <f>B5B!I265</f>
        <v>0</v>
      </c>
      <c r="J34" s="171">
        <f t="shared" si="3"/>
        <v>0</v>
      </c>
      <c r="K34" s="171">
        <f t="shared" si="4"/>
        <v>0</v>
      </c>
      <c r="L34" s="131">
        <f>B5B!L265</f>
        <v>0</v>
      </c>
      <c r="M34" s="132">
        <f>B5B!M265</f>
        <v>0</v>
      </c>
      <c r="N34" s="874"/>
    </row>
    <row r="35" spans="1:14" ht="12.75" customHeight="1">
      <c r="A35" s="986" t="str">
        <f>B5B!A276</f>
        <v>Vote 10 - [NAME OF VOTE 10]</v>
      </c>
      <c r="B35" s="136"/>
      <c r="C35" s="805">
        <f>B5B!C276</f>
        <v>0</v>
      </c>
      <c r="D35" s="131">
        <f>B5B!D276</f>
        <v>0</v>
      </c>
      <c r="E35" s="131">
        <f>B5B!E276</f>
        <v>0</v>
      </c>
      <c r="F35" s="131">
        <f>B5B!F276</f>
        <v>0</v>
      </c>
      <c r="G35" s="131">
        <f>B5B!G276</f>
        <v>0</v>
      </c>
      <c r="H35" s="131">
        <f>B5B!H276</f>
        <v>0</v>
      </c>
      <c r="I35" s="131">
        <f>B5B!I276</f>
        <v>0</v>
      </c>
      <c r="J35" s="171">
        <f t="shared" si="3"/>
        <v>0</v>
      </c>
      <c r="K35" s="171">
        <f t="shared" si="4"/>
        <v>0</v>
      </c>
      <c r="L35" s="131">
        <f>B5B!L276</f>
        <v>0</v>
      </c>
      <c r="M35" s="132">
        <f>B5B!M276</f>
        <v>0</v>
      </c>
      <c r="N35" s="874"/>
    </row>
    <row r="36" spans="1:14" ht="12.75" customHeight="1">
      <c r="A36" s="986" t="str">
        <f>B5B!A287</f>
        <v>Vote 11 - [NAME OF VOTE 11]</v>
      </c>
      <c r="B36" s="136"/>
      <c r="C36" s="805">
        <f>B5B!C287</f>
        <v>0</v>
      </c>
      <c r="D36" s="131">
        <f>B5B!D287</f>
        <v>0</v>
      </c>
      <c r="E36" s="131">
        <f>B5B!E287</f>
        <v>0</v>
      </c>
      <c r="F36" s="131">
        <f>B5B!F287</f>
        <v>0</v>
      </c>
      <c r="G36" s="131">
        <f>B5B!G287</f>
        <v>0</v>
      </c>
      <c r="H36" s="131">
        <f>B5B!H287</f>
        <v>0</v>
      </c>
      <c r="I36" s="131">
        <f>B5B!I287</f>
        <v>0</v>
      </c>
      <c r="J36" s="171">
        <f t="shared" si="3"/>
        <v>0</v>
      </c>
      <c r="K36" s="171">
        <f t="shared" si="4"/>
        <v>0</v>
      </c>
      <c r="L36" s="131">
        <f>B5B!L287</f>
        <v>0</v>
      </c>
      <c r="M36" s="132">
        <f>B5B!M287</f>
        <v>0</v>
      </c>
      <c r="N36" s="874"/>
    </row>
    <row r="37" spans="1:14" ht="12.75" customHeight="1">
      <c r="A37" s="986" t="str">
        <f>B5B!A298</f>
        <v>Vote 12 - [NAME OF VOTE 12]</v>
      </c>
      <c r="B37" s="136"/>
      <c r="C37" s="805">
        <f>B5B!C298</f>
        <v>0</v>
      </c>
      <c r="D37" s="131">
        <f>B5B!D298</f>
        <v>0</v>
      </c>
      <c r="E37" s="131">
        <f>B5B!E298</f>
        <v>0</v>
      </c>
      <c r="F37" s="131">
        <f>B5B!F298</f>
        <v>0</v>
      </c>
      <c r="G37" s="131">
        <f>B5B!G298</f>
        <v>0</v>
      </c>
      <c r="H37" s="131">
        <f>B5B!H298</f>
        <v>0</v>
      </c>
      <c r="I37" s="131">
        <f>B5B!I298</f>
        <v>0</v>
      </c>
      <c r="J37" s="171">
        <f t="shared" si="3"/>
        <v>0</v>
      </c>
      <c r="K37" s="171">
        <f>IF(D37=0,C37+J37,D37+J37)</f>
        <v>0</v>
      </c>
      <c r="L37" s="131">
        <f>B5B!L298</f>
        <v>0</v>
      </c>
      <c r="M37" s="132">
        <f>B5B!M298</f>
        <v>0</v>
      </c>
      <c r="N37" s="874"/>
    </row>
    <row r="38" spans="1:14">
      <c r="A38" s="986" t="str">
        <f>B5B!A309</f>
        <v>Vote 13 - [NAME OF VOTE 13]</v>
      </c>
      <c r="B38" s="136"/>
      <c r="C38" s="806">
        <f>B5B!C309</f>
        <v>0</v>
      </c>
      <c r="D38" s="131">
        <f>B5B!D309</f>
        <v>0</v>
      </c>
      <c r="E38" s="131">
        <f>B5B!E309</f>
        <v>0</v>
      </c>
      <c r="F38" s="131">
        <f>B5B!F309</f>
        <v>0</v>
      </c>
      <c r="G38" s="131">
        <f>B5B!G309</f>
        <v>0</v>
      </c>
      <c r="H38" s="131">
        <f>B5B!H309</f>
        <v>0</v>
      </c>
      <c r="I38" s="131">
        <f>B5B!I309</f>
        <v>0</v>
      </c>
      <c r="J38" s="171">
        <f t="shared" si="3"/>
        <v>0</v>
      </c>
      <c r="K38" s="171">
        <f t="shared" si="4"/>
        <v>0</v>
      </c>
      <c r="L38" s="131">
        <f>B5B!L309</f>
        <v>0</v>
      </c>
      <c r="M38" s="132">
        <f>B5B!M309</f>
        <v>0</v>
      </c>
      <c r="N38" s="874"/>
    </row>
    <row r="39" spans="1:14" ht="12.75" customHeight="1">
      <c r="A39" s="986" t="str">
        <f>B5B!A320</f>
        <v>Vote 14 - [NAME OF VOTE 14]</v>
      </c>
      <c r="B39" s="136"/>
      <c r="C39" s="806">
        <f>B5B!C320</f>
        <v>0</v>
      </c>
      <c r="D39" s="131">
        <f>B5B!D320</f>
        <v>0</v>
      </c>
      <c r="E39" s="131">
        <f>B5B!E320</f>
        <v>0</v>
      </c>
      <c r="F39" s="131">
        <f>B5B!F320</f>
        <v>0</v>
      </c>
      <c r="G39" s="131">
        <f>B5B!G320</f>
        <v>0</v>
      </c>
      <c r="H39" s="131">
        <f>B5B!H320</f>
        <v>0</v>
      </c>
      <c r="I39" s="131">
        <f>B5B!I320</f>
        <v>0</v>
      </c>
      <c r="J39" s="171">
        <f t="shared" si="3"/>
        <v>0</v>
      </c>
      <c r="K39" s="171">
        <f t="shared" si="4"/>
        <v>0</v>
      </c>
      <c r="L39" s="131">
        <f>B5B!L320</f>
        <v>0</v>
      </c>
      <c r="M39" s="132">
        <f>B5B!M320</f>
        <v>0</v>
      </c>
      <c r="N39" s="874"/>
    </row>
    <row r="40" spans="1:14" ht="12.75" customHeight="1">
      <c r="A40" s="986" t="str">
        <f>B5B!A331</f>
        <v>Vote 15 - [NAME OF VOTE 15]</v>
      </c>
      <c r="B40" s="136"/>
      <c r="C40" s="806">
        <f>B5B!C331</f>
        <v>0</v>
      </c>
      <c r="D40" s="131">
        <f>B5B!D331</f>
        <v>0</v>
      </c>
      <c r="E40" s="131">
        <f>B5B!E331</f>
        <v>0</v>
      </c>
      <c r="F40" s="131">
        <f>B5B!F331</f>
        <v>0</v>
      </c>
      <c r="G40" s="131">
        <f>B5B!G331</f>
        <v>0</v>
      </c>
      <c r="H40" s="131">
        <f>B5B!H331</f>
        <v>0</v>
      </c>
      <c r="I40" s="131">
        <f>B5B!I331</f>
        <v>0</v>
      </c>
      <c r="J40" s="171">
        <f t="shared" si="3"/>
        <v>0</v>
      </c>
      <c r="K40" s="171">
        <f t="shared" si="4"/>
        <v>0</v>
      </c>
      <c r="L40" s="131">
        <f>B5B!L331</f>
        <v>0</v>
      </c>
      <c r="M40" s="132">
        <f>B5B!M331</f>
        <v>0</v>
      </c>
      <c r="N40" s="874"/>
    </row>
    <row r="41" spans="1:14" ht="12.75" customHeight="1">
      <c r="A41" s="161" t="s">
        <v>717</v>
      </c>
      <c r="B41" s="153"/>
      <c r="C41" s="807">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66"/>
    </row>
    <row r="42" spans="1:14" ht="12.75" customHeight="1">
      <c r="A42" s="162" t="s">
        <v>1291</v>
      </c>
      <c r="B42" s="79"/>
      <c r="C42" s="891">
        <f>C41+C23</f>
        <v>165629847</v>
      </c>
      <c r="D42" s="81">
        <f t="shared" ref="D42:I42" si="6">D41+D23</f>
        <v>0</v>
      </c>
      <c r="E42" s="81">
        <f t="shared" si="6"/>
        <v>0</v>
      </c>
      <c r="F42" s="81">
        <f t="shared" si="6"/>
        <v>0</v>
      </c>
      <c r="G42" s="81">
        <f t="shared" si="6"/>
        <v>0</v>
      </c>
      <c r="H42" s="81">
        <f t="shared" si="6"/>
        <v>20350000</v>
      </c>
      <c r="I42" s="81">
        <f t="shared" si="6"/>
        <v>31502614</v>
      </c>
      <c r="J42" s="81">
        <f>J23+J41</f>
        <v>51852614</v>
      </c>
      <c r="K42" s="81">
        <f>K23+K41</f>
        <v>217482461</v>
      </c>
      <c r="L42" s="81">
        <f>L41+L23</f>
        <v>167012676</v>
      </c>
      <c r="M42" s="82">
        <f>M41+M23</f>
        <v>215752848</v>
      </c>
      <c r="N42" s="127"/>
    </row>
    <row r="43" spans="1:14" ht="5.0999999999999996" customHeight="1">
      <c r="A43" s="135"/>
      <c r="B43" s="73"/>
      <c r="C43" s="74"/>
      <c r="D43" s="75"/>
      <c r="E43" s="75"/>
      <c r="F43" s="75"/>
      <c r="G43" s="75"/>
      <c r="H43" s="75"/>
      <c r="I43" s="75"/>
      <c r="J43" s="75"/>
      <c r="K43" s="75"/>
      <c r="L43" s="75"/>
      <c r="M43" s="76"/>
      <c r="N43" s="127"/>
    </row>
    <row r="44" spans="1:14" ht="12.75" customHeight="1">
      <c r="A44" s="125" t="s">
        <v>718</v>
      </c>
      <c r="B44" s="73"/>
      <c r="C44" s="74"/>
      <c r="D44" s="75"/>
      <c r="E44" s="75"/>
      <c r="F44" s="75"/>
      <c r="G44" s="75"/>
      <c r="H44" s="75"/>
      <c r="I44" s="75"/>
      <c r="J44" s="75"/>
      <c r="K44" s="75"/>
      <c r="L44" s="75"/>
      <c r="M44" s="76"/>
      <c r="N44" s="127"/>
    </row>
    <row r="45" spans="1:14" ht="12.75" customHeight="1">
      <c r="A45" s="107" t="str">
        <f>'B2-FinPerf SC'!A7</f>
        <v>Governance and administration</v>
      </c>
      <c r="B45" s="73"/>
      <c r="C45" s="257">
        <f t="shared" ref="C45:M45" si="7">SUM(C46:C48)</f>
        <v>3019500</v>
      </c>
      <c r="D45" s="257">
        <f t="shared" si="7"/>
        <v>0</v>
      </c>
      <c r="E45" s="257">
        <f t="shared" si="7"/>
        <v>0</v>
      </c>
      <c r="F45" s="257">
        <f t="shared" si="7"/>
        <v>0</v>
      </c>
      <c r="G45" s="257">
        <f t="shared" si="7"/>
        <v>0</v>
      </c>
      <c r="H45" s="257">
        <f t="shared" si="7"/>
        <v>0</v>
      </c>
      <c r="I45" s="257">
        <f t="shared" si="7"/>
        <v>2860000</v>
      </c>
      <c r="J45" s="257">
        <f>SUM(J46:J48)</f>
        <v>2860000</v>
      </c>
      <c r="K45" s="257">
        <f t="shared" si="7"/>
        <v>5879500</v>
      </c>
      <c r="L45" s="257">
        <f t="shared" si="7"/>
        <v>2350000</v>
      </c>
      <c r="M45" s="725">
        <f t="shared" si="7"/>
        <v>1550000</v>
      </c>
      <c r="N45" s="127"/>
    </row>
    <row r="46" spans="1:14" ht="12.75" customHeight="1">
      <c r="A46" s="108" t="str">
        <f>'B2-FinPerf SC'!A8</f>
        <v>Executive and council</v>
      </c>
      <c r="B46" s="73"/>
      <c r="C46" s="109">
        <v>973000</v>
      </c>
      <c r="D46" s="109"/>
      <c r="E46" s="109"/>
      <c r="F46" s="109"/>
      <c r="G46" s="109"/>
      <c r="H46" s="109"/>
      <c r="I46" s="109">
        <v>-370000</v>
      </c>
      <c r="J46" s="171">
        <f>SUM(E46:I46)</f>
        <v>-370000</v>
      </c>
      <c r="K46" s="171">
        <f>IF(D46=0,C46+J46,D46+J46)</f>
        <v>603000</v>
      </c>
      <c r="L46" s="109">
        <v>500000</v>
      </c>
      <c r="M46" s="109">
        <v>500000</v>
      </c>
      <c r="N46" s="127"/>
    </row>
    <row r="47" spans="1:14" ht="12.75" customHeight="1">
      <c r="A47" s="108" t="str">
        <f>'B2-FinPerf SC'!A9</f>
        <v>Budget and treasury office</v>
      </c>
      <c r="B47" s="73"/>
      <c r="C47" s="111">
        <v>500000</v>
      </c>
      <c r="D47" s="111"/>
      <c r="E47" s="111"/>
      <c r="F47" s="111"/>
      <c r="G47" s="111"/>
      <c r="H47" s="111"/>
      <c r="I47" s="111">
        <v>-400000</v>
      </c>
      <c r="J47" s="171">
        <f>SUM(E47:I47)</f>
        <v>-400000</v>
      </c>
      <c r="K47" s="171">
        <f>IF(D47=0,C47+J47,D47+J47)</f>
        <v>100000</v>
      </c>
      <c r="L47" s="111">
        <v>500000</v>
      </c>
      <c r="M47" s="111">
        <v>500000</v>
      </c>
      <c r="N47" s="127"/>
    </row>
    <row r="48" spans="1:14" ht="12.75" customHeight="1">
      <c r="A48" s="108" t="str">
        <f>'B2-FinPerf SC'!A10</f>
        <v>Corporate services</v>
      </c>
      <c r="B48" s="73"/>
      <c r="C48" s="109">
        <v>1546500</v>
      </c>
      <c r="D48" s="109"/>
      <c r="E48" s="109"/>
      <c r="F48" s="109"/>
      <c r="G48" s="109"/>
      <c r="H48" s="109"/>
      <c r="I48" s="109">
        <f>3750000-120000</f>
        <v>3630000</v>
      </c>
      <c r="J48" s="171">
        <f>SUM(E48:I48)</f>
        <v>3630000</v>
      </c>
      <c r="K48" s="171">
        <f>IF(D48=0,C48+J48,D48+J48)</f>
        <v>5176500</v>
      </c>
      <c r="L48" s="109">
        <v>1350000</v>
      </c>
      <c r="M48" s="109">
        <v>550000</v>
      </c>
      <c r="N48" s="127"/>
    </row>
    <row r="49" spans="1:14" ht="12.75" customHeight="1">
      <c r="A49" s="107" t="str">
        <f>'B2-FinPerf SC'!A11</f>
        <v>Community and public safety</v>
      </c>
      <c r="B49" s="73"/>
      <c r="C49" s="257">
        <f t="shared" ref="C49:M49" si="8">SUM(C50:C54)</f>
        <v>0</v>
      </c>
      <c r="D49" s="257">
        <f t="shared" si="8"/>
        <v>0</v>
      </c>
      <c r="E49" s="257">
        <f t="shared" si="8"/>
        <v>0</v>
      </c>
      <c r="F49" s="257">
        <f t="shared" si="8"/>
        <v>0</v>
      </c>
      <c r="G49" s="257">
        <f t="shared" si="8"/>
        <v>0</v>
      </c>
      <c r="H49" s="257">
        <f t="shared" si="8"/>
        <v>0</v>
      </c>
      <c r="I49" s="257">
        <f t="shared" si="8"/>
        <v>0</v>
      </c>
      <c r="J49" s="257">
        <f>SUM(J50:J54)</f>
        <v>0</v>
      </c>
      <c r="K49" s="257">
        <f t="shared" si="8"/>
        <v>0</v>
      </c>
      <c r="L49" s="257">
        <f t="shared" si="8"/>
        <v>200000</v>
      </c>
      <c r="M49" s="725">
        <f t="shared" si="8"/>
        <v>2290000</v>
      </c>
      <c r="N49" s="127"/>
    </row>
    <row r="50" spans="1:14" ht="12.75" customHeight="1">
      <c r="A50" s="108" t="str">
        <f>'B2-FinPerf SC'!A12</f>
        <v>Community and social services</v>
      </c>
      <c r="B50" s="73"/>
      <c r="C50" s="109"/>
      <c r="D50" s="109"/>
      <c r="E50" s="109"/>
      <c r="F50" s="109"/>
      <c r="G50" s="109"/>
      <c r="H50" s="109"/>
      <c r="I50" s="109"/>
      <c r="J50" s="171">
        <f>SUM(E50:I50)</f>
        <v>0</v>
      </c>
      <c r="K50" s="171">
        <f>IF(D50=0,C50+J50,D50+J50)</f>
        <v>0</v>
      </c>
      <c r="L50" s="109"/>
      <c r="M50" s="109"/>
      <c r="N50" s="127"/>
    </row>
    <row r="51" spans="1:14" ht="12.75" customHeight="1">
      <c r="A51" s="108" t="str">
        <f>'B2-FinPerf SC'!A13</f>
        <v>Sport and recreation</v>
      </c>
      <c r="B51" s="73"/>
      <c r="C51" s="109"/>
      <c r="D51" s="109"/>
      <c r="E51" s="109"/>
      <c r="F51" s="109"/>
      <c r="G51" s="109"/>
      <c r="H51" s="109"/>
      <c r="I51" s="109"/>
      <c r="J51" s="171">
        <f>SUM(E51:I51)</f>
        <v>0</v>
      </c>
      <c r="K51" s="171">
        <f>IF(D51=0,C51+J51,D51+J51)</f>
        <v>0</v>
      </c>
      <c r="L51" s="109"/>
      <c r="M51" s="109"/>
      <c r="N51" s="127"/>
    </row>
    <row r="52" spans="1:14" ht="12.75" customHeight="1">
      <c r="A52" s="108" t="str">
        <f>'B2-FinPerf SC'!A14</f>
        <v>Public safety</v>
      </c>
      <c r="B52" s="73"/>
      <c r="C52" s="109"/>
      <c r="D52" s="109"/>
      <c r="E52" s="109"/>
      <c r="F52" s="109"/>
      <c r="G52" s="109"/>
      <c r="H52" s="109"/>
      <c r="I52" s="109"/>
      <c r="J52" s="171">
        <f>SUM(E52:I52)</f>
        <v>0</v>
      </c>
      <c r="K52" s="171">
        <f>IF(D52=0,C52+J52,D52+J52)</f>
        <v>0</v>
      </c>
      <c r="L52" s="109"/>
      <c r="M52" s="109"/>
      <c r="N52" s="127"/>
    </row>
    <row r="53" spans="1:14" ht="12.75" customHeight="1">
      <c r="A53" s="108" t="str">
        <f>'B2-FinPerf SC'!A15</f>
        <v>Housing</v>
      </c>
      <c r="B53" s="73"/>
      <c r="C53" s="109"/>
      <c r="D53" s="109"/>
      <c r="E53" s="109"/>
      <c r="F53" s="109"/>
      <c r="G53" s="109"/>
      <c r="H53" s="109"/>
      <c r="I53" s="109"/>
      <c r="J53" s="171">
        <f>SUM(E53:I53)</f>
        <v>0</v>
      </c>
      <c r="K53" s="171">
        <f>IF(D53=0,C53+J53,D53+J53)</f>
        <v>0</v>
      </c>
      <c r="L53" s="109">
        <v>200000</v>
      </c>
      <c r="M53" s="109">
        <v>2290000</v>
      </c>
      <c r="N53" s="127"/>
    </row>
    <row r="54" spans="1:14" ht="12.75" customHeight="1">
      <c r="A54" s="108" t="str">
        <f>'B2-FinPerf SC'!A16</f>
        <v>Health</v>
      </c>
      <c r="B54" s="73"/>
      <c r="C54" s="111"/>
      <c r="D54" s="111"/>
      <c r="E54" s="111"/>
      <c r="F54" s="111"/>
      <c r="G54" s="111"/>
      <c r="H54" s="111"/>
      <c r="I54" s="111"/>
      <c r="J54" s="171">
        <f>SUM(E54:I54)</f>
        <v>0</v>
      </c>
      <c r="K54" s="171">
        <f>IF(D54=0,C54+J54,D54+J54)</f>
        <v>0</v>
      </c>
      <c r="L54" s="111"/>
      <c r="M54" s="111"/>
      <c r="N54" s="127"/>
    </row>
    <row r="55" spans="1:14" ht="12.75" customHeight="1">
      <c r="A55" s="107" t="str">
        <f>'B2-FinPerf SC'!A17</f>
        <v>Economic and environmental services</v>
      </c>
      <c r="B55" s="73"/>
      <c r="C55" s="257">
        <f t="shared" ref="C55:M55" si="9">SUM(C56:C58)</f>
        <v>123010347</v>
      </c>
      <c r="D55" s="257">
        <f t="shared" si="9"/>
        <v>0</v>
      </c>
      <c r="E55" s="257">
        <f t="shared" si="9"/>
        <v>0</v>
      </c>
      <c r="F55" s="257">
        <f t="shared" si="9"/>
        <v>0</v>
      </c>
      <c r="G55" s="257">
        <f t="shared" si="9"/>
        <v>0</v>
      </c>
      <c r="H55" s="257">
        <f t="shared" si="9"/>
        <v>18350000</v>
      </c>
      <c r="I55" s="257">
        <f t="shared" si="9"/>
        <v>34332614</v>
      </c>
      <c r="J55" s="257">
        <f t="shared" si="9"/>
        <v>52682614</v>
      </c>
      <c r="K55" s="257">
        <f t="shared" si="9"/>
        <v>175692961</v>
      </c>
      <c r="L55" s="257">
        <f t="shared" si="9"/>
        <v>116968556</v>
      </c>
      <c r="M55" s="725">
        <f t="shared" si="9"/>
        <v>135800718</v>
      </c>
      <c r="N55" s="127"/>
    </row>
    <row r="56" spans="1:14" ht="12.75" customHeight="1">
      <c r="A56" s="108" t="str">
        <f>'B2-FinPerf SC'!A18</f>
        <v>Planning and development</v>
      </c>
      <c r="B56" s="136"/>
      <c r="C56" s="109">
        <v>6315000</v>
      </c>
      <c r="D56" s="109"/>
      <c r="E56" s="109"/>
      <c r="F56" s="109"/>
      <c r="G56" s="109"/>
      <c r="H56" s="109">
        <f>18350000</f>
        <v>18350000</v>
      </c>
      <c r="I56" s="109">
        <f>-280000+3400000</f>
        <v>3120000</v>
      </c>
      <c r="J56" s="171">
        <f>SUM(E56:I56)</f>
        <v>21470000</v>
      </c>
      <c r="K56" s="171">
        <f>IF(D56=0,C56+J56,D56+J56)</f>
        <v>27785000</v>
      </c>
      <c r="L56" s="109">
        <f>5500000+25000</f>
        <v>5525000</v>
      </c>
      <c r="M56" s="109">
        <f>14500000+27500</f>
        <v>14527500</v>
      </c>
      <c r="N56" s="127"/>
    </row>
    <row r="57" spans="1:14" ht="12.75" customHeight="1">
      <c r="A57" s="108" t="str">
        <f>'B2-FinPerf SC'!A19</f>
        <v>Road transport</v>
      </c>
      <c r="B57" s="73"/>
      <c r="C57" s="109">
        <v>116695347</v>
      </c>
      <c r="D57" s="109"/>
      <c r="E57" s="109"/>
      <c r="F57" s="109"/>
      <c r="G57" s="109"/>
      <c r="H57" s="109"/>
      <c r="I57" s="109">
        <f>9555000+976140+12497614+13143296+1656704-976140-470000-7000000-470000+2300000</f>
        <v>31212614</v>
      </c>
      <c r="J57" s="171">
        <f>SUM(E57:I57)</f>
        <v>31212614</v>
      </c>
      <c r="K57" s="171">
        <f>IF(D57=0,C57+J57,D57+J57)</f>
        <v>147907961</v>
      </c>
      <c r="L57" s="109">
        <v>111443556</v>
      </c>
      <c r="M57" s="109">
        <v>121273218</v>
      </c>
      <c r="N57" s="127"/>
    </row>
    <row r="58" spans="1:14" ht="12.75" customHeight="1">
      <c r="A58" s="108" t="str">
        <f>'B2-FinPerf SC'!A20</f>
        <v>Environmental protection</v>
      </c>
      <c r="B58" s="73"/>
      <c r="C58" s="109"/>
      <c r="D58" s="109"/>
      <c r="E58" s="109"/>
      <c r="F58" s="109"/>
      <c r="G58" s="109"/>
      <c r="H58" s="109"/>
      <c r="I58" s="109"/>
      <c r="J58" s="171">
        <f>SUM(E58:I58)</f>
        <v>0</v>
      </c>
      <c r="K58" s="171">
        <f>IF(D58=0,C58+J58,D58+J58)</f>
        <v>0</v>
      </c>
      <c r="L58" s="109"/>
      <c r="M58" s="109"/>
      <c r="N58" s="127"/>
    </row>
    <row r="59" spans="1:14" ht="12.75" customHeight="1">
      <c r="A59" s="107" t="str">
        <f>'B2-FinPerf SC'!A21</f>
        <v>Trading services</v>
      </c>
      <c r="B59" s="73"/>
      <c r="C59" s="257">
        <f>SUM(C60:C63)</f>
        <v>39600000</v>
      </c>
      <c r="D59" s="257">
        <f t="shared" ref="D59:M59" si="10">SUM(D60:D63)</f>
        <v>0</v>
      </c>
      <c r="E59" s="257">
        <f t="shared" si="10"/>
        <v>0</v>
      </c>
      <c r="F59" s="257">
        <f t="shared" si="10"/>
        <v>0</v>
      </c>
      <c r="G59" s="257">
        <f t="shared" si="10"/>
        <v>0</v>
      </c>
      <c r="H59" s="257">
        <f t="shared" si="10"/>
        <v>2000000</v>
      </c>
      <c r="I59" s="257">
        <f>SUM(I60:I63)</f>
        <v>-5690000</v>
      </c>
      <c r="J59" s="257">
        <f>SUM(J60:J63)</f>
        <v>-3690000</v>
      </c>
      <c r="K59" s="257">
        <f t="shared" si="10"/>
        <v>35910000</v>
      </c>
      <c r="L59" s="257">
        <f t="shared" si="10"/>
        <v>47494120</v>
      </c>
      <c r="M59" s="725">
        <f t="shared" si="10"/>
        <v>76612129</v>
      </c>
      <c r="N59" s="127"/>
    </row>
    <row r="60" spans="1:14" ht="12.75" customHeight="1">
      <c r="A60" s="108" t="str">
        <f>'B2-FinPerf SC'!A22</f>
        <v>Electricity</v>
      </c>
      <c r="B60" s="73"/>
      <c r="C60" s="109">
        <v>39500000</v>
      </c>
      <c r="D60" s="109"/>
      <c r="E60" s="109"/>
      <c r="F60" s="109"/>
      <c r="G60" s="109"/>
      <c r="H60" s="109">
        <v>2000000</v>
      </c>
      <c r="I60" s="109">
        <f>4500000-8000000-170000-300000-1500000-220000</f>
        <v>-5690000</v>
      </c>
      <c r="J60" s="75">
        <f>SUM(E60:I60)</f>
        <v>-3690000</v>
      </c>
      <c r="K60" s="75">
        <f>IF(D60=0,C60+J60,D60+J60)</f>
        <v>35810000</v>
      </c>
      <c r="L60" s="109">
        <v>43469120</v>
      </c>
      <c r="M60" s="109">
        <v>75182129</v>
      </c>
      <c r="N60" s="127"/>
    </row>
    <row r="61" spans="1:14" ht="12.75" customHeight="1">
      <c r="A61" s="108" t="str">
        <f>'B2-FinPerf SC'!A23</f>
        <v>Water</v>
      </c>
      <c r="B61" s="73"/>
      <c r="C61" s="109"/>
      <c r="D61" s="109"/>
      <c r="E61" s="109"/>
      <c r="F61" s="109"/>
      <c r="G61" s="109"/>
      <c r="H61" s="109"/>
      <c r="I61" s="109"/>
      <c r="J61" s="75">
        <f>SUM(E61:I61)</f>
        <v>0</v>
      </c>
      <c r="K61" s="75">
        <f>IF(D61=0,C61+J61,D61+J61)</f>
        <v>0</v>
      </c>
      <c r="L61" s="109"/>
      <c r="M61" s="109"/>
      <c r="N61" s="127"/>
    </row>
    <row r="62" spans="1:14" ht="12.75" customHeight="1">
      <c r="A62" s="108" t="str">
        <f>'B2-FinPerf SC'!A24</f>
        <v>Waste water management</v>
      </c>
      <c r="B62" s="73"/>
      <c r="C62" s="111"/>
      <c r="D62" s="111"/>
      <c r="E62" s="109"/>
      <c r="F62" s="109"/>
      <c r="G62" s="109"/>
      <c r="H62" s="111"/>
      <c r="I62" s="111"/>
      <c r="J62" s="75">
        <f>SUM(E62:I62)</f>
        <v>0</v>
      </c>
      <c r="K62" s="75">
        <f>IF(D62=0,C62+J62,D62+J62)</f>
        <v>0</v>
      </c>
      <c r="L62" s="111">
        <v>900000</v>
      </c>
      <c r="M62" s="109" t="s">
        <v>1787</v>
      </c>
      <c r="N62" s="127"/>
    </row>
    <row r="63" spans="1:14" ht="12.75" customHeight="1">
      <c r="A63" s="108" t="str">
        <f>'B2-FinPerf SC'!A25</f>
        <v>Waste management</v>
      </c>
      <c r="B63" s="73"/>
      <c r="C63" s="109">
        <v>100000</v>
      </c>
      <c r="D63" s="109"/>
      <c r="E63" s="109"/>
      <c r="F63" s="109"/>
      <c r="G63" s="109"/>
      <c r="H63" s="109"/>
      <c r="I63" s="109"/>
      <c r="J63" s="75">
        <f>SUM(E63:I63)</f>
        <v>0</v>
      </c>
      <c r="K63" s="75">
        <f>IF(D63=0,C63+J63,D63+J63)</f>
        <v>100000</v>
      </c>
      <c r="L63" s="109">
        <v>3125000</v>
      </c>
      <c r="M63" s="109">
        <v>1430000</v>
      </c>
      <c r="N63" s="127"/>
    </row>
    <row r="64" spans="1:14" ht="12.75" customHeight="1">
      <c r="A64" s="107" t="str">
        <f>'B2-FinPerf SC'!A26</f>
        <v>Other</v>
      </c>
      <c r="B64" s="73"/>
      <c r="C64" s="109"/>
      <c r="D64" s="109"/>
      <c r="E64" s="109"/>
      <c r="F64" s="109"/>
      <c r="G64" s="109"/>
      <c r="H64" s="109"/>
      <c r="I64" s="109"/>
      <c r="J64" s="75">
        <f>SUM(E64:I64)</f>
        <v>0</v>
      </c>
      <c r="K64" s="75">
        <f>IF(D64=0,C64+J64,D64+J64)</f>
        <v>0</v>
      </c>
      <c r="L64" s="109"/>
      <c r="M64" s="109"/>
      <c r="N64" s="127"/>
    </row>
    <row r="65" spans="1:14" ht="12.75" customHeight="1">
      <c r="A65" s="162" t="s">
        <v>485</v>
      </c>
      <c r="B65" s="79">
        <v>3</v>
      </c>
      <c r="C65" s="706">
        <f>C45+C49+C55+C59+C64</f>
        <v>165629847</v>
      </c>
      <c r="D65" s="704">
        <f t="shared" ref="D65:M65" si="11">D45+D49+D55+D59+D64</f>
        <v>0</v>
      </c>
      <c r="E65" s="704">
        <f t="shared" si="11"/>
        <v>0</v>
      </c>
      <c r="F65" s="704">
        <f t="shared" si="11"/>
        <v>0</v>
      </c>
      <c r="G65" s="704">
        <f t="shared" si="11"/>
        <v>0</v>
      </c>
      <c r="H65" s="704">
        <f t="shared" si="11"/>
        <v>20350000</v>
      </c>
      <c r="I65" s="704">
        <f>I45+I49+I55+I59+I64</f>
        <v>31502614</v>
      </c>
      <c r="J65" s="704">
        <f t="shared" si="11"/>
        <v>51852614</v>
      </c>
      <c r="K65" s="704">
        <f t="shared" si="11"/>
        <v>217482461</v>
      </c>
      <c r="L65" s="704">
        <f t="shared" si="11"/>
        <v>167012676</v>
      </c>
      <c r="M65" s="705">
        <f t="shared" si="11"/>
        <v>216252847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719</v>
      </c>
      <c r="B67" s="73"/>
      <c r="C67" s="74"/>
      <c r="D67" s="75"/>
      <c r="E67" s="75"/>
      <c r="F67" s="75"/>
      <c r="G67" s="75"/>
      <c r="H67" s="75"/>
      <c r="I67" s="75"/>
      <c r="J67" s="75"/>
      <c r="K67" s="75"/>
      <c r="L67" s="75"/>
      <c r="M67" s="76"/>
      <c r="N67" s="127"/>
    </row>
    <row r="68" spans="1:14" ht="12.75" customHeight="1">
      <c r="A68" s="163" t="s">
        <v>720</v>
      </c>
      <c r="B68" s="73"/>
      <c r="C68" s="129">
        <v>80317120</v>
      </c>
      <c r="D68" s="109"/>
      <c r="E68" s="109"/>
      <c r="F68" s="109"/>
      <c r="G68" s="109"/>
      <c r="H68" s="109">
        <f>18350000+2000000</f>
        <v>20350000</v>
      </c>
      <c r="I68" s="109">
        <v>5700000</v>
      </c>
      <c r="J68" s="75">
        <f>SUM(E68:I68)</f>
        <v>26050000</v>
      </c>
      <c r="K68" s="75">
        <f>IF(D68=0,C68+J68,D68+J68)</f>
        <v>106367120</v>
      </c>
      <c r="L68" s="109">
        <v>88664960</v>
      </c>
      <c r="M68" s="109">
        <v>95512640</v>
      </c>
      <c r="N68" s="127"/>
    </row>
    <row r="69" spans="1:14" ht="12.75" customHeight="1">
      <c r="A69" s="163" t="s">
        <v>721</v>
      </c>
      <c r="B69" s="73"/>
      <c r="C69" s="129"/>
      <c r="D69" s="109"/>
      <c r="E69" s="109"/>
      <c r="F69" s="109"/>
      <c r="G69" s="109"/>
      <c r="H69" s="109"/>
      <c r="I69" s="109"/>
      <c r="J69" s="75">
        <f>SUM(E69:I69)</f>
        <v>0</v>
      </c>
      <c r="K69" s="75">
        <f>IF(D69=0,C69+J69,D69+J69)</f>
        <v>0</v>
      </c>
      <c r="L69" s="109"/>
      <c r="M69" s="110"/>
      <c r="N69" s="127"/>
    </row>
    <row r="70" spans="1:14" ht="12.75" customHeight="1">
      <c r="A70" s="163" t="s">
        <v>722</v>
      </c>
      <c r="B70" s="73"/>
      <c r="C70" s="129"/>
      <c r="D70" s="109"/>
      <c r="E70" s="109"/>
      <c r="F70" s="109"/>
      <c r="G70" s="109"/>
      <c r="H70" s="109"/>
      <c r="I70" s="109"/>
      <c r="J70" s="75">
        <f>SUM(E70:I70)</f>
        <v>0</v>
      </c>
      <c r="K70" s="75">
        <f>IF(D70=0,C70+J70,D70+J70)</f>
        <v>0</v>
      </c>
      <c r="L70" s="109"/>
      <c r="M70" s="110"/>
      <c r="N70" s="127"/>
    </row>
    <row r="71" spans="1:14" ht="12.75" customHeight="1">
      <c r="A71" s="163" t="s">
        <v>1292</v>
      </c>
      <c r="B71" s="73"/>
      <c r="C71" s="129"/>
      <c r="D71" s="109"/>
      <c r="E71" s="109"/>
      <c r="F71" s="109"/>
      <c r="G71" s="109"/>
      <c r="H71" s="109"/>
      <c r="I71" s="109"/>
      <c r="J71" s="75">
        <f>SUM(E71:I71)</f>
        <v>0</v>
      </c>
      <c r="K71" s="75">
        <f>IF(D71=0,C71+J71,D71+J71)</f>
        <v>0</v>
      </c>
      <c r="L71" s="109"/>
      <c r="M71" s="110"/>
      <c r="N71" s="127"/>
    </row>
    <row r="72" spans="1:14" ht="12.75" customHeight="1">
      <c r="A72" s="164" t="s">
        <v>723</v>
      </c>
      <c r="B72" s="73">
        <v>4</v>
      </c>
      <c r="C72" s="149">
        <f t="shared" ref="C72:M72" si="12">SUM(C68:C71)</f>
        <v>80317120</v>
      </c>
      <c r="D72" s="150">
        <f t="shared" si="12"/>
        <v>0</v>
      </c>
      <c r="E72" s="150">
        <f t="shared" si="12"/>
        <v>0</v>
      </c>
      <c r="F72" s="150">
        <f t="shared" si="12"/>
        <v>0</v>
      </c>
      <c r="G72" s="150">
        <f t="shared" si="12"/>
        <v>0</v>
      </c>
      <c r="H72" s="150">
        <f t="shared" si="12"/>
        <v>20350000</v>
      </c>
      <c r="I72" s="150">
        <f t="shared" si="12"/>
        <v>5700000</v>
      </c>
      <c r="J72" s="150">
        <f t="shared" si="12"/>
        <v>26050000</v>
      </c>
      <c r="K72" s="150">
        <f t="shared" si="12"/>
        <v>106367120</v>
      </c>
      <c r="L72" s="150">
        <f t="shared" si="12"/>
        <v>88664960</v>
      </c>
      <c r="M72" s="151">
        <f t="shared" si="12"/>
        <v>95512640</v>
      </c>
      <c r="N72" s="127"/>
    </row>
    <row r="73" spans="1:14" ht="12.75" customHeight="1">
      <c r="A73" s="164" t="s">
        <v>614</v>
      </c>
      <c r="B73" s="73"/>
      <c r="C73" s="129"/>
      <c r="D73" s="109"/>
      <c r="E73" s="109"/>
      <c r="F73" s="109"/>
      <c r="G73" s="109"/>
      <c r="H73" s="109"/>
      <c r="I73" s="109"/>
      <c r="J73" s="75">
        <f>SUM(E73:I73)</f>
        <v>0</v>
      </c>
      <c r="K73" s="75">
        <f>IF(D73=0,C73+J73,D73+J73)</f>
        <v>0</v>
      </c>
      <c r="L73" s="109"/>
      <c r="M73" s="110"/>
    </row>
    <row r="74" spans="1:14" ht="12.75" customHeight="1">
      <c r="A74" s="165" t="s">
        <v>615</v>
      </c>
      <c r="B74" s="73"/>
      <c r="C74" s="129"/>
      <c r="D74" s="109"/>
      <c r="E74" s="109"/>
      <c r="F74" s="109"/>
      <c r="G74" s="109"/>
      <c r="H74" s="109"/>
      <c r="I74" s="109"/>
      <c r="J74" s="75">
        <f>SUM(E74:I74)</f>
        <v>0</v>
      </c>
      <c r="K74" s="75">
        <f>IF(D74=0,C74+J74,D74+J74)</f>
        <v>0</v>
      </c>
      <c r="L74" s="109"/>
      <c r="M74" s="110"/>
    </row>
    <row r="75" spans="1:14" ht="12.75" customHeight="1">
      <c r="A75" s="165" t="s">
        <v>616</v>
      </c>
      <c r="B75" s="73"/>
      <c r="C75" s="129">
        <v>85312727</v>
      </c>
      <c r="D75" s="109"/>
      <c r="E75" s="109"/>
      <c r="F75" s="109"/>
      <c r="G75" s="109"/>
      <c r="H75" s="109"/>
      <c r="I75" s="109">
        <f>46078754-976140-19300000</f>
        <v>25802614</v>
      </c>
      <c r="J75" s="75">
        <f>SUM(E75:I75)</f>
        <v>25802614</v>
      </c>
      <c r="K75" s="75">
        <f>IF(D75=0,C75+J75,D75+J75)</f>
        <v>111115341</v>
      </c>
      <c r="L75" s="109">
        <f>78322716+25000</f>
        <v>78347716</v>
      </c>
      <c r="M75" s="109">
        <f>120712708+27500</f>
        <v>120740208</v>
      </c>
    </row>
    <row r="76" spans="1:14" ht="12.75" customHeight="1">
      <c r="A76" s="154" t="s">
        <v>724</v>
      </c>
      <c r="B76" s="155"/>
      <c r="C76" s="156">
        <f t="shared" ref="C76:M76" si="13">SUM(C72:C75)</f>
        <v>165629847</v>
      </c>
      <c r="D76" s="116">
        <f t="shared" si="13"/>
        <v>0</v>
      </c>
      <c r="E76" s="116">
        <f t="shared" si="13"/>
        <v>0</v>
      </c>
      <c r="F76" s="116">
        <f t="shared" si="13"/>
        <v>0</v>
      </c>
      <c r="G76" s="116">
        <f t="shared" si="13"/>
        <v>0</v>
      </c>
      <c r="H76" s="116">
        <f t="shared" si="13"/>
        <v>20350000</v>
      </c>
      <c r="I76" s="116">
        <f t="shared" si="13"/>
        <v>31502614</v>
      </c>
      <c r="J76" s="116">
        <f t="shared" si="13"/>
        <v>51852614</v>
      </c>
      <c r="K76" s="116">
        <f t="shared" si="13"/>
        <v>217482461</v>
      </c>
      <c r="L76" s="116">
        <f t="shared" si="13"/>
        <v>167012676</v>
      </c>
      <c r="M76" s="117">
        <f t="shared" si="13"/>
        <v>216252848</v>
      </c>
    </row>
    <row r="77" spans="1:14" ht="12.75" customHeight="1">
      <c r="A77" s="157" t="str">
        <f>head27a</f>
        <v>References</v>
      </c>
      <c r="B77" s="93"/>
      <c r="C77" s="96"/>
      <c r="D77" s="96"/>
      <c r="E77" s="96"/>
      <c r="F77" s="96"/>
      <c r="G77" s="96"/>
      <c r="H77" s="96"/>
      <c r="I77" s="96"/>
      <c r="J77" s="96"/>
      <c r="K77" s="96"/>
      <c r="L77" s="96"/>
      <c r="M77" s="96"/>
    </row>
    <row r="78" spans="1:14" ht="12.75" customHeight="1">
      <c r="A78" s="119" t="s">
        <v>1184</v>
      </c>
      <c r="B78" s="93"/>
      <c r="C78" s="96"/>
      <c r="D78" s="96"/>
      <c r="E78" s="96"/>
      <c r="F78" s="96"/>
      <c r="G78" s="96"/>
      <c r="H78" s="96"/>
      <c r="I78" s="96"/>
      <c r="J78" s="96"/>
      <c r="K78" s="96"/>
      <c r="L78" s="96"/>
      <c r="M78" s="96"/>
    </row>
    <row r="79" spans="1:14" ht="13.5" customHeight="1">
      <c r="A79" s="1335" t="s">
        <v>1185</v>
      </c>
      <c r="B79" s="1335"/>
      <c r="C79" s="1335"/>
      <c r="D79" s="1335"/>
      <c r="E79" s="1335"/>
      <c r="F79" s="1335"/>
      <c r="G79" s="1335"/>
      <c r="H79" s="1335"/>
      <c r="I79" s="1335"/>
      <c r="J79" s="1335"/>
      <c r="K79" s="1335"/>
      <c r="L79" s="1335"/>
      <c r="M79" s="1335"/>
    </row>
    <row r="80" spans="1:14" ht="12.75" customHeight="1">
      <c r="A80" s="1336" t="s">
        <v>1293</v>
      </c>
      <c r="B80" s="1336"/>
      <c r="C80" s="1336"/>
      <c r="D80" s="1336"/>
      <c r="E80" s="1336"/>
      <c r="F80" s="1336"/>
      <c r="G80" s="1336"/>
      <c r="H80" s="1336"/>
      <c r="I80" s="1336"/>
      <c r="J80" s="1336"/>
      <c r="K80" s="1336"/>
      <c r="L80" s="1336"/>
      <c r="M80" s="166"/>
    </row>
    <row r="81" spans="1:13" ht="12.75" customHeight="1">
      <c r="A81" s="1337" t="s">
        <v>1294</v>
      </c>
      <c r="B81" s="1337"/>
      <c r="C81" s="1337"/>
      <c r="D81" s="1337"/>
      <c r="E81" s="1337"/>
      <c r="F81" s="1337"/>
      <c r="G81" s="1337"/>
      <c r="H81" s="1337"/>
      <c r="I81" s="1337"/>
      <c r="J81" s="1337"/>
      <c r="K81" s="1337"/>
      <c r="L81" s="1337"/>
      <c r="M81" s="166"/>
    </row>
    <row r="82" spans="1:13" ht="12.75" customHeight="1">
      <c r="A82" s="1324" t="s">
        <v>1107</v>
      </c>
      <c r="B82" s="1324"/>
      <c r="C82" s="1324"/>
      <c r="D82" s="1324"/>
      <c r="E82" s="1324"/>
      <c r="F82" s="1324"/>
      <c r="G82" s="1324"/>
      <c r="H82" s="1324"/>
      <c r="I82" s="1324"/>
      <c r="J82" s="1324"/>
      <c r="K82" s="1324"/>
      <c r="L82" s="1324"/>
      <c r="M82" s="1324"/>
    </row>
    <row r="83" spans="1:13" ht="12.75" customHeight="1">
      <c r="A83" s="1324" t="s">
        <v>1172</v>
      </c>
      <c r="B83" s="1324"/>
      <c r="C83" s="1324"/>
      <c r="D83" s="1324"/>
      <c r="E83" s="1324"/>
      <c r="F83" s="1324"/>
      <c r="G83" s="1324"/>
      <c r="H83" s="1324"/>
      <c r="I83" s="1324"/>
      <c r="J83" s="1324"/>
      <c r="K83" s="1324"/>
      <c r="L83" s="1324"/>
      <c r="M83" s="1324"/>
    </row>
    <row r="84" spans="1:13" ht="12.75" customHeight="1">
      <c r="A84" s="1318" t="s">
        <v>1173</v>
      </c>
      <c r="B84" s="1318"/>
      <c r="C84" s="1318"/>
      <c r="D84" s="1318"/>
      <c r="E84" s="1318"/>
      <c r="F84" s="1318"/>
      <c r="G84" s="1318"/>
      <c r="H84" s="1318"/>
      <c r="I84" s="1318"/>
      <c r="J84" s="1318"/>
      <c r="K84" s="1318"/>
      <c r="L84" s="1318"/>
      <c r="M84" s="1318"/>
    </row>
    <row r="85" spans="1:13" ht="12.75" customHeight="1">
      <c r="A85" s="1318" t="s">
        <v>1174</v>
      </c>
      <c r="B85" s="1318"/>
      <c r="C85" s="1318"/>
      <c r="D85" s="1318"/>
      <c r="E85" s="1318"/>
      <c r="F85" s="1318"/>
      <c r="G85" s="1318"/>
      <c r="H85" s="1318"/>
      <c r="I85" s="1318"/>
      <c r="J85" s="1318"/>
      <c r="K85" s="1318"/>
      <c r="L85" s="1318"/>
      <c r="M85" s="1318"/>
    </row>
    <row r="86" spans="1:13" ht="12.75" customHeight="1">
      <c r="A86" s="99" t="s">
        <v>1170</v>
      </c>
      <c r="B86" s="93"/>
      <c r="C86" s="96"/>
      <c r="D86" s="96"/>
      <c r="E86" s="96"/>
      <c r="F86" s="96"/>
      <c r="G86" s="96"/>
      <c r="H86" s="96"/>
      <c r="I86" s="96"/>
      <c r="J86" s="96"/>
      <c r="K86" s="96"/>
      <c r="L86" s="96"/>
      <c r="M86" s="96"/>
    </row>
    <row r="87" spans="1:13" ht="26.25" customHeight="1">
      <c r="A87" s="1318" t="s">
        <v>1171</v>
      </c>
      <c r="B87" s="1318"/>
      <c r="C87" s="1318"/>
      <c r="D87" s="1318"/>
      <c r="E87" s="1318"/>
      <c r="F87" s="1318"/>
      <c r="G87" s="1318"/>
      <c r="H87" s="1318"/>
      <c r="I87" s="1318"/>
      <c r="J87" s="1318"/>
      <c r="K87" s="1318"/>
      <c r="L87" s="1318"/>
      <c r="M87" s="1318"/>
    </row>
    <row r="88" spans="1:13" ht="12.75" customHeight="1">
      <c r="A88" s="99" t="s">
        <v>682</v>
      </c>
      <c r="B88" s="93"/>
      <c r="C88" s="96"/>
      <c r="D88" s="96"/>
      <c r="E88" s="96"/>
      <c r="F88" s="96"/>
      <c r="G88" s="96"/>
      <c r="H88" s="96"/>
      <c r="I88" s="96"/>
      <c r="J88" s="96"/>
      <c r="K88" s="96"/>
      <c r="L88" s="96"/>
      <c r="M88" s="96"/>
    </row>
    <row r="89" spans="1:13" ht="12.75" customHeight="1">
      <c r="A89" s="1318" t="s">
        <v>683</v>
      </c>
      <c r="B89" s="1318"/>
      <c r="C89" s="1318"/>
      <c r="D89" s="1318"/>
      <c r="E89" s="1318"/>
      <c r="F89" s="1318"/>
      <c r="G89" s="1318"/>
      <c r="H89" s="1318"/>
      <c r="I89" s="1318"/>
      <c r="J89" s="1318"/>
      <c r="K89" s="1318"/>
      <c r="L89" s="1318"/>
      <c r="M89" s="1318"/>
    </row>
    <row r="90" spans="1:13" ht="11.25" customHeight="1">
      <c r="A90" s="48"/>
      <c r="B90" s="120"/>
      <c r="C90" s="53"/>
      <c r="D90" s="53"/>
      <c r="E90" s="53"/>
      <c r="F90" s="53"/>
      <c r="G90" s="53"/>
      <c r="H90" s="53"/>
      <c r="I90" s="53"/>
      <c r="J90" s="53"/>
      <c r="K90" s="53"/>
      <c r="L90" s="53"/>
      <c r="M90" s="53"/>
    </row>
    <row r="91" spans="1:13" ht="11.25" customHeight="1">
      <c r="A91" s="121" t="s">
        <v>726</v>
      </c>
      <c r="B91" s="93"/>
      <c r="C91" s="167">
        <f>C65-C76</f>
        <v>0</v>
      </c>
      <c r="D91" s="102">
        <f>D65-D76</f>
        <v>0</v>
      </c>
      <c r="E91" s="102">
        <f>E65-E76</f>
        <v>0</v>
      </c>
      <c r="F91" s="102"/>
      <c r="G91" s="102"/>
      <c r="H91" s="102">
        <f>H65-H76</f>
        <v>0</v>
      </c>
      <c r="I91" s="102">
        <f>I65-I76</f>
        <v>0</v>
      </c>
      <c r="J91" s="102">
        <f>J65-J76</f>
        <v>0</v>
      </c>
      <c r="K91" s="102">
        <f>K65-K76</f>
        <v>0</v>
      </c>
      <c r="L91" s="102">
        <f>L65-L76</f>
        <v>0</v>
      </c>
      <c r="M91" s="167">
        <f>K23-K76</f>
        <v>0</v>
      </c>
    </row>
    <row r="92" spans="1:13" ht="11.25" customHeight="1">
      <c r="C92" s="167"/>
      <c r="D92" s="168"/>
      <c r="E92" s="168"/>
      <c r="F92" s="168"/>
      <c r="G92" s="168"/>
      <c r="H92" s="168"/>
      <c r="I92" s="168"/>
      <c r="J92" s="168"/>
      <c r="K92" s="168"/>
      <c r="L92" s="168"/>
      <c r="M92" s="167"/>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17"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sheetPr codeName="Sheet11" enableFormatConditionsCalculation="0">
    <tabColor indexed="44"/>
  </sheetPr>
  <dimension ref="A1:N349"/>
  <sheetViews>
    <sheetView showGridLines="0" showZeros="0" topLeftCell="A22" workbookViewId="0">
      <selection activeCell="M21" sqref="M21"/>
    </sheetView>
  </sheetViews>
  <sheetFormatPr defaultRowHeight="12.75"/>
  <cols>
    <col min="1" max="1" width="27.42578125" style="909" customWidth="1"/>
    <col min="2" max="2" width="5.28515625" style="909" customWidth="1"/>
    <col min="3" max="13" width="10.140625" customWidth="1"/>
  </cols>
  <sheetData>
    <row r="1" spans="1:13" ht="13.5">
      <c r="A1" s="892" t="str">
        <f>muni&amp;" - "&amp;_ADJ5&amp;" - B"&amp;" - "&amp;Date</f>
        <v>LIM333 Greater Tzaneen - Table B5 Consolidated Adjustments Capital Expenditure Budget by vote and funding - B - 26 FEBRUARY 2014</v>
      </c>
      <c r="B1" s="893"/>
      <c r="C1" s="58"/>
      <c r="D1" s="5"/>
      <c r="E1" s="5"/>
      <c r="F1" s="5"/>
      <c r="G1" s="5"/>
      <c r="H1" s="5"/>
      <c r="I1" s="5"/>
      <c r="J1" s="5"/>
      <c r="K1" s="5"/>
      <c r="L1" s="5"/>
      <c r="M1" s="5"/>
    </row>
    <row r="2" spans="1:13" ht="25.5">
      <c r="A2" s="1338" t="str">
        <f>Vdesc</f>
        <v>Vote Description</v>
      </c>
      <c r="B2" s="1340" t="str">
        <f>head27</f>
        <v>Ref</v>
      </c>
      <c r="C2" s="1319" t="str">
        <f>Head2</f>
        <v>Budget Year 2013/14</v>
      </c>
      <c r="D2" s="1320"/>
      <c r="E2" s="1320"/>
      <c r="F2" s="1320"/>
      <c r="G2" s="1320"/>
      <c r="H2" s="1320"/>
      <c r="I2" s="1320"/>
      <c r="J2" s="1320"/>
      <c r="K2" s="1320"/>
      <c r="L2" s="60" t="str">
        <f>Head10</f>
        <v>Budget Year +1 2014/15</v>
      </c>
      <c r="M2" s="61" t="str">
        <f>Head11</f>
        <v>Budget Year +2 2015/16</v>
      </c>
    </row>
    <row r="3" spans="1:13" ht="25.5">
      <c r="A3" s="1339"/>
      <c r="B3" s="134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894" t="s">
        <v>642</v>
      </c>
      <c r="B4" s="1341"/>
      <c r="C4" s="65"/>
      <c r="D4" s="15">
        <v>3</v>
      </c>
      <c r="E4" s="15">
        <v>4</v>
      </c>
      <c r="F4" s="15">
        <v>5</v>
      </c>
      <c r="G4" s="15">
        <v>6</v>
      </c>
      <c r="H4" s="15">
        <v>7</v>
      </c>
      <c r="I4" s="15">
        <v>8</v>
      </c>
      <c r="J4" s="15">
        <v>9</v>
      </c>
      <c r="K4" s="15">
        <v>10</v>
      </c>
      <c r="L4" s="15"/>
      <c r="M4" s="17"/>
    </row>
    <row r="5" spans="1:13" ht="13.5">
      <c r="A5" s="895" t="s">
        <v>643</v>
      </c>
      <c r="B5" s="1342"/>
      <c r="C5" s="67" t="s">
        <v>583</v>
      </c>
      <c r="D5" s="68" t="s">
        <v>584</v>
      </c>
      <c r="E5" s="68" t="s">
        <v>585</v>
      </c>
      <c r="F5" s="69" t="s">
        <v>586</v>
      </c>
      <c r="G5" s="69" t="s">
        <v>587</v>
      </c>
      <c r="H5" s="69" t="s">
        <v>588</v>
      </c>
      <c r="I5" s="70" t="s">
        <v>589</v>
      </c>
      <c r="J5" s="70" t="s">
        <v>590</v>
      </c>
      <c r="K5" s="70" t="s">
        <v>591</v>
      </c>
      <c r="L5" s="70"/>
      <c r="M5" s="71"/>
    </row>
    <row r="6" spans="1:13" ht="13.5">
      <c r="A6" s="896" t="s">
        <v>1158</v>
      </c>
      <c r="B6" s="897"/>
      <c r="C6" s="759"/>
      <c r="D6" s="758"/>
      <c r="E6" s="758"/>
      <c r="F6" s="758"/>
      <c r="G6" s="758"/>
      <c r="H6" s="758"/>
      <c r="I6" s="758"/>
      <c r="J6" s="758"/>
      <c r="K6" s="758"/>
      <c r="L6" s="758"/>
      <c r="M6" s="787"/>
    </row>
    <row r="7" spans="1:13" ht="13.5">
      <c r="A7" s="896" t="s">
        <v>1248</v>
      </c>
      <c r="B7" s="898">
        <v>2</v>
      </c>
      <c r="C7" s="795"/>
      <c r="D7" s="796"/>
      <c r="E7" s="796"/>
      <c r="F7" s="796"/>
      <c r="G7" s="796"/>
      <c r="H7" s="796"/>
      <c r="I7" s="796"/>
      <c r="J7" s="796"/>
      <c r="K7" s="796"/>
      <c r="L7" s="796"/>
      <c r="M7" s="797"/>
    </row>
    <row r="8" spans="1:13" ht="13.5">
      <c r="A8" s="899" t="str">
        <f>'Org structure'!A2</f>
        <v>Vote 1 - Municipal Manager</v>
      </c>
      <c r="B8" s="900"/>
      <c r="C8" s="761">
        <f>SUM(C9:C18)</f>
        <v>409000</v>
      </c>
      <c r="D8" s="760">
        <f t="shared" ref="D8:I8" si="0">SUM(D9:D18)</f>
        <v>0</v>
      </c>
      <c r="E8" s="760">
        <f t="shared" si="0"/>
        <v>0</v>
      </c>
      <c r="F8" s="760">
        <f t="shared" si="0"/>
        <v>0</v>
      </c>
      <c r="G8" s="760">
        <f t="shared" si="0"/>
        <v>0</v>
      </c>
      <c r="H8" s="760">
        <f t="shared" si="0"/>
        <v>0</v>
      </c>
      <c r="I8" s="760">
        <f t="shared" si="0"/>
        <v>-370000</v>
      </c>
      <c r="J8" s="75">
        <f t="shared" ref="J8:J71" si="1">SUM(E8:I8)</f>
        <v>-370000</v>
      </c>
      <c r="K8" s="75">
        <f t="shared" ref="K8:K71" si="2">IF(D8=0,C8+J8,D8+J8)</f>
        <v>39000</v>
      </c>
      <c r="L8" s="760">
        <f>SUM(L9:L18)</f>
        <v>850000</v>
      </c>
      <c r="M8" s="788">
        <f>SUM(M9:M18)</f>
        <v>550000</v>
      </c>
    </row>
    <row r="9" spans="1:13" ht="13.5">
      <c r="A9" s="901" t="str">
        <f>'Org structure'!E3</f>
        <v>1.1 - Administration Municipal Manager</v>
      </c>
      <c r="B9" s="898"/>
      <c r="C9" s="763">
        <v>409000</v>
      </c>
      <c r="D9" s="762"/>
      <c r="E9" s="762"/>
      <c r="F9" s="762"/>
      <c r="G9" s="762"/>
      <c r="H9" s="762"/>
      <c r="I9" s="762">
        <v>-370000</v>
      </c>
      <c r="J9" s="75">
        <f t="shared" si="1"/>
        <v>-370000</v>
      </c>
      <c r="K9" s="75">
        <f t="shared" si="2"/>
        <v>39000</v>
      </c>
      <c r="L9" s="762">
        <v>500000</v>
      </c>
      <c r="M9" s="762">
        <v>500000</v>
      </c>
    </row>
    <row r="10" spans="1:13" ht="13.5">
      <c r="A10" s="901" t="str">
        <f>'Org structure'!E4</f>
        <v>1.2 - Internal Audit</v>
      </c>
      <c r="B10" s="898"/>
      <c r="C10" s="763">
        <v>0</v>
      </c>
      <c r="D10" s="762"/>
      <c r="E10" s="762"/>
      <c r="F10" s="762"/>
      <c r="G10" s="762"/>
      <c r="H10" s="762"/>
      <c r="I10" s="762"/>
      <c r="J10" s="75">
        <f t="shared" si="1"/>
        <v>0</v>
      </c>
      <c r="K10" s="75">
        <f t="shared" si="2"/>
        <v>0</v>
      </c>
      <c r="L10" s="762">
        <v>200000</v>
      </c>
      <c r="M10" s="762">
        <v>0</v>
      </c>
    </row>
    <row r="11" spans="1:13" ht="13.5">
      <c r="A11" s="901" t="str">
        <f>'Org structure'!E5</f>
        <v>1.4 - Strategic Support</v>
      </c>
      <c r="B11" s="898"/>
      <c r="C11" s="763">
        <v>0</v>
      </c>
      <c r="D11" s="762"/>
      <c r="E11" s="762"/>
      <c r="F11" s="762"/>
      <c r="G11" s="762"/>
      <c r="H11" s="762"/>
      <c r="I11" s="762"/>
      <c r="J11" s="75">
        <f t="shared" si="1"/>
        <v>0</v>
      </c>
      <c r="K11" s="75">
        <f t="shared" si="2"/>
        <v>0</v>
      </c>
      <c r="L11" s="762">
        <v>150000</v>
      </c>
      <c r="M11" s="762">
        <v>50000</v>
      </c>
    </row>
    <row r="12" spans="1:13" ht="13.5">
      <c r="A12" s="901" t="str">
        <f>'Org structure'!E6</f>
        <v>1.5 - Risk Management</v>
      </c>
      <c r="B12" s="898"/>
      <c r="C12" s="763">
        <v>0</v>
      </c>
      <c r="D12" s="762"/>
      <c r="E12" s="762"/>
      <c r="F12" s="762"/>
      <c r="G12" s="762"/>
      <c r="H12" s="762"/>
      <c r="I12" s="762"/>
      <c r="J12" s="75">
        <f t="shared" si="1"/>
        <v>0</v>
      </c>
      <c r="K12" s="75">
        <f t="shared" si="2"/>
        <v>0</v>
      </c>
      <c r="L12" s="762"/>
      <c r="M12" s="764"/>
    </row>
    <row r="13" spans="1:13" ht="13.5">
      <c r="A13" s="901" t="str">
        <f>'Org structure'!E7</f>
        <v>1.3 - Disaster Management</v>
      </c>
      <c r="B13" s="898"/>
      <c r="C13" s="763"/>
      <c r="D13" s="762"/>
      <c r="E13" s="762"/>
      <c r="F13" s="762"/>
      <c r="G13" s="762"/>
      <c r="H13" s="762"/>
      <c r="I13" s="762"/>
      <c r="J13" s="75">
        <f t="shared" si="1"/>
        <v>0</v>
      </c>
      <c r="K13" s="75">
        <f t="shared" si="2"/>
        <v>0</v>
      </c>
      <c r="L13" s="762"/>
      <c r="M13" s="764"/>
    </row>
    <row r="14" spans="1:13" ht="13.5">
      <c r="A14" s="901">
        <f>'Org structure'!E8</f>
        <v>0</v>
      </c>
      <c r="B14" s="898"/>
      <c r="C14" s="763"/>
      <c r="D14" s="762"/>
      <c r="E14" s="762"/>
      <c r="F14" s="762"/>
      <c r="G14" s="762"/>
      <c r="H14" s="762"/>
      <c r="I14" s="762"/>
      <c r="J14" s="75">
        <f t="shared" si="1"/>
        <v>0</v>
      </c>
      <c r="K14" s="75">
        <f t="shared" si="2"/>
        <v>0</v>
      </c>
      <c r="L14" s="762"/>
      <c r="M14" s="764"/>
    </row>
    <row r="15" spans="1:13" ht="13.5">
      <c r="A15" s="901">
        <f>'Org structure'!E9</f>
        <v>0</v>
      </c>
      <c r="B15" s="898"/>
      <c r="C15" s="763"/>
      <c r="D15" s="762"/>
      <c r="E15" s="762"/>
      <c r="F15" s="762"/>
      <c r="G15" s="762"/>
      <c r="H15" s="762"/>
      <c r="I15" s="762"/>
      <c r="J15" s="75">
        <f t="shared" si="1"/>
        <v>0</v>
      </c>
      <c r="K15" s="75">
        <f t="shared" si="2"/>
        <v>0</v>
      </c>
      <c r="L15" s="762"/>
      <c r="M15" s="764"/>
    </row>
    <row r="16" spans="1:13" ht="13.5">
      <c r="A16" s="901">
        <f>'Org structure'!E10</f>
        <v>0</v>
      </c>
      <c r="B16" s="898"/>
      <c r="C16" s="763"/>
      <c r="D16" s="762"/>
      <c r="E16" s="762"/>
      <c r="F16" s="762"/>
      <c r="G16" s="762"/>
      <c r="H16" s="762"/>
      <c r="I16" s="762"/>
      <c r="J16" s="75">
        <f t="shared" si="1"/>
        <v>0</v>
      </c>
      <c r="K16" s="75">
        <f t="shared" si="2"/>
        <v>0</v>
      </c>
      <c r="L16" s="762"/>
      <c r="M16" s="764"/>
    </row>
    <row r="17" spans="1:13" ht="13.5">
      <c r="A17" s="901">
        <f>'Org structure'!E11</f>
        <v>0</v>
      </c>
      <c r="B17" s="898"/>
      <c r="C17" s="763"/>
      <c r="D17" s="762"/>
      <c r="E17" s="762"/>
      <c r="F17" s="762"/>
      <c r="G17" s="762"/>
      <c r="H17" s="762"/>
      <c r="I17" s="762"/>
      <c r="J17" s="75">
        <f t="shared" si="1"/>
        <v>0</v>
      </c>
      <c r="K17" s="75">
        <f t="shared" si="2"/>
        <v>0</v>
      </c>
      <c r="L17" s="762"/>
      <c r="M17" s="764"/>
    </row>
    <row r="18" spans="1:13" ht="13.5">
      <c r="A18" s="901">
        <f>'Org structure'!E12</f>
        <v>0</v>
      </c>
      <c r="B18" s="898"/>
      <c r="C18" s="763"/>
      <c r="D18" s="762"/>
      <c r="E18" s="762"/>
      <c r="F18" s="762"/>
      <c r="G18" s="762"/>
      <c r="H18" s="762"/>
      <c r="I18" s="762"/>
      <c r="J18" s="75">
        <f t="shared" si="1"/>
        <v>0</v>
      </c>
      <c r="K18" s="75">
        <f t="shared" si="2"/>
        <v>0</v>
      </c>
      <c r="L18" s="762"/>
      <c r="M18" s="764"/>
    </row>
    <row r="19" spans="1:13" ht="13.5">
      <c r="A19" s="899" t="str">
        <f>'Org structure'!A3</f>
        <v>Vote 2 - Planning &amp; Economic Development</v>
      </c>
      <c r="B19" s="900"/>
      <c r="C19" s="761">
        <f>SUM(C20:C29)</f>
        <v>7565000</v>
      </c>
      <c r="D19" s="760">
        <f t="shared" ref="D19:I19" si="3">SUM(D20:D29)</f>
        <v>0</v>
      </c>
      <c r="E19" s="760">
        <f t="shared" si="3"/>
        <v>0</v>
      </c>
      <c r="F19" s="760">
        <f t="shared" si="3"/>
        <v>0</v>
      </c>
      <c r="G19" s="760">
        <f t="shared" si="3"/>
        <v>0</v>
      </c>
      <c r="H19" s="760">
        <f t="shared" si="3"/>
        <v>18350000</v>
      </c>
      <c r="I19" s="760">
        <f t="shared" si="3"/>
        <v>6870000</v>
      </c>
      <c r="J19" s="75">
        <f t="shared" si="1"/>
        <v>25220000</v>
      </c>
      <c r="K19" s="75">
        <f t="shared" si="2"/>
        <v>32785000</v>
      </c>
      <c r="L19" s="760">
        <f>SUM(L20:L29)</f>
        <v>5525000</v>
      </c>
      <c r="M19" s="788">
        <f>SUM(M20:M29)</f>
        <v>14027500</v>
      </c>
    </row>
    <row r="20" spans="1:13" ht="13.5">
      <c r="A20" s="901" t="str">
        <f>'Org structure'!E14</f>
        <v>2.1 - Administration Strategy &amp; Development</v>
      </c>
      <c r="B20" s="898"/>
      <c r="C20" s="763">
        <v>6315000</v>
      </c>
      <c r="D20" s="762"/>
      <c r="E20" s="762"/>
      <c r="F20" s="762"/>
      <c r="G20" s="762"/>
      <c r="H20" s="762">
        <v>18350000</v>
      </c>
      <c r="I20" s="762">
        <f>-280000+3400000</f>
        <v>3120000</v>
      </c>
      <c r="J20" s="75">
        <f t="shared" si="1"/>
        <v>21470000</v>
      </c>
      <c r="K20" s="75">
        <f t="shared" si="2"/>
        <v>27785000</v>
      </c>
      <c r="L20" s="762">
        <v>5500000</v>
      </c>
      <c r="M20" s="762">
        <v>14000000</v>
      </c>
    </row>
    <row r="21" spans="1:13" ht="13.5">
      <c r="A21" s="901" t="str">
        <f>'Org structure'!E15</f>
        <v>2.2 - Local Economic Development</v>
      </c>
      <c r="B21" s="898"/>
      <c r="C21" s="763">
        <v>0</v>
      </c>
      <c r="D21" s="762"/>
      <c r="E21" s="762"/>
      <c r="F21" s="762"/>
      <c r="G21" s="762"/>
      <c r="H21" s="762"/>
      <c r="I21" s="762"/>
      <c r="J21" s="75">
        <f t="shared" si="1"/>
        <v>0</v>
      </c>
      <c r="K21" s="75">
        <f t="shared" si="2"/>
        <v>0</v>
      </c>
      <c r="L21" s="762">
        <v>25000</v>
      </c>
      <c r="M21" s="762">
        <v>27500</v>
      </c>
    </row>
    <row r="22" spans="1:13" ht="13.5">
      <c r="A22" s="901" t="str">
        <f>'Org structure'!E16</f>
        <v>2.3 - Town &amp; Regional Planning</v>
      </c>
      <c r="B22" s="898"/>
      <c r="C22" s="763">
        <v>0</v>
      </c>
      <c r="D22" s="762"/>
      <c r="E22" s="762"/>
      <c r="F22" s="762"/>
      <c r="G22" s="762"/>
      <c r="H22" s="762"/>
      <c r="I22" s="762"/>
      <c r="J22" s="75">
        <f t="shared" si="1"/>
        <v>0</v>
      </c>
      <c r="K22" s="75">
        <f t="shared" si="2"/>
        <v>0</v>
      </c>
      <c r="L22" s="762"/>
      <c r="M22" s="764"/>
    </row>
    <row r="23" spans="1:13" ht="13.5">
      <c r="A23" s="901" t="str">
        <f>'Org structure'!E17</f>
        <v>2.4 - Housing Administration</v>
      </c>
      <c r="B23" s="898"/>
      <c r="C23" s="763">
        <v>1250000</v>
      </c>
      <c r="D23" s="762"/>
      <c r="E23" s="762"/>
      <c r="F23" s="762"/>
      <c r="G23" s="762"/>
      <c r="H23" s="762"/>
      <c r="I23" s="762">
        <v>3750000</v>
      </c>
      <c r="J23" s="75">
        <f t="shared" si="1"/>
        <v>3750000</v>
      </c>
      <c r="K23" s="75">
        <f t="shared" si="2"/>
        <v>5000000</v>
      </c>
      <c r="L23" s="762"/>
      <c r="M23" s="764"/>
    </row>
    <row r="24" spans="1:13" ht="13.5">
      <c r="A24" s="901" t="str">
        <f>'Org structure'!E18</f>
        <v>2.5 - SATELITE OFFICE: NKOWANKOWA</v>
      </c>
      <c r="B24" s="898"/>
      <c r="C24" s="763">
        <v>0</v>
      </c>
      <c r="D24" s="762"/>
      <c r="E24" s="762"/>
      <c r="F24" s="762"/>
      <c r="G24" s="762"/>
      <c r="H24" s="762"/>
      <c r="I24" s="762"/>
      <c r="J24" s="75">
        <f t="shared" si="1"/>
        <v>0</v>
      </c>
      <c r="K24" s="75">
        <f t="shared" si="2"/>
        <v>0</v>
      </c>
      <c r="L24" s="762"/>
      <c r="M24" s="764"/>
    </row>
    <row r="25" spans="1:13" ht="13.5">
      <c r="A25" s="901" t="str">
        <f>'Org structure'!E19</f>
        <v>2.6 - SATELITE OFFICE: LENYENYE</v>
      </c>
      <c r="B25" s="898"/>
      <c r="C25" s="763"/>
      <c r="D25" s="762"/>
      <c r="E25" s="762"/>
      <c r="F25" s="762"/>
      <c r="G25" s="762"/>
      <c r="H25" s="762"/>
      <c r="I25" s="762"/>
      <c r="J25" s="75">
        <f t="shared" si="1"/>
        <v>0</v>
      </c>
      <c r="K25" s="75">
        <f t="shared" si="2"/>
        <v>0</v>
      </c>
      <c r="L25" s="762"/>
      <c r="M25" s="764"/>
    </row>
    <row r="26" spans="1:13" ht="13.5">
      <c r="A26" s="901" t="str">
        <f>'Org structure'!E20</f>
        <v>2.7 - SATELITE OFFICE: LETSITELE</v>
      </c>
      <c r="B26" s="898"/>
      <c r="C26" s="763"/>
      <c r="D26" s="762"/>
      <c r="E26" s="762"/>
      <c r="F26" s="762"/>
      <c r="G26" s="762"/>
      <c r="H26" s="762"/>
      <c r="I26" s="762"/>
      <c r="J26" s="75">
        <f t="shared" si="1"/>
        <v>0</v>
      </c>
      <c r="K26" s="75">
        <f t="shared" si="2"/>
        <v>0</v>
      </c>
      <c r="L26" s="762"/>
      <c r="M26" s="764"/>
    </row>
    <row r="27" spans="1:13" ht="13.5">
      <c r="A27" s="901">
        <f>'Org structure'!E21</f>
        <v>0</v>
      </c>
      <c r="B27" s="898"/>
      <c r="C27" s="763"/>
      <c r="D27" s="762"/>
      <c r="E27" s="762"/>
      <c r="F27" s="762"/>
      <c r="G27" s="762"/>
      <c r="H27" s="762"/>
      <c r="I27" s="762"/>
      <c r="J27" s="75">
        <f t="shared" si="1"/>
        <v>0</v>
      </c>
      <c r="K27" s="75">
        <f t="shared" si="2"/>
        <v>0</v>
      </c>
      <c r="L27" s="762"/>
      <c r="M27" s="764"/>
    </row>
    <row r="28" spans="1:13" ht="13.5">
      <c r="A28" s="901">
        <f>'Org structure'!E22</f>
        <v>0</v>
      </c>
      <c r="B28" s="898"/>
      <c r="C28" s="763"/>
      <c r="D28" s="762"/>
      <c r="E28" s="762"/>
      <c r="F28" s="762"/>
      <c r="G28" s="762"/>
      <c r="H28" s="762"/>
      <c r="I28" s="762"/>
      <c r="J28" s="75">
        <f t="shared" si="1"/>
        <v>0</v>
      </c>
      <c r="K28" s="75">
        <f t="shared" si="2"/>
        <v>0</v>
      </c>
      <c r="L28" s="762"/>
      <c r="M28" s="764"/>
    </row>
    <row r="29" spans="1:13" ht="13.5">
      <c r="A29" s="901">
        <f>'Org structure'!E23</f>
        <v>0</v>
      </c>
      <c r="B29" s="898"/>
      <c r="C29" s="763"/>
      <c r="D29" s="762"/>
      <c r="E29" s="762"/>
      <c r="F29" s="762"/>
      <c r="G29" s="762"/>
      <c r="H29" s="762"/>
      <c r="I29" s="762"/>
      <c r="J29" s="75">
        <f t="shared" si="1"/>
        <v>0</v>
      </c>
      <c r="K29" s="75">
        <f t="shared" si="2"/>
        <v>0</v>
      </c>
      <c r="L29" s="762"/>
      <c r="M29" s="764"/>
    </row>
    <row r="30" spans="1:13" ht="13.5">
      <c r="A30" s="899" t="str">
        <f>'Org structure'!A4</f>
        <v>Vote 3 - Financial Services</v>
      </c>
      <c r="B30" s="900"/>
      <c r="C30" s="761">
        <f>SUM(C31:C40)</f>
        <v>500000</v>
      </c>
      <c r="D30" s="760">
        <f t="shared" ref="D30:I30" si="4">SUM(D31:D40)</f>
        <v>0</v>
      </c>
      <c r="E30" s="760">
        <f t="shared" si="4"/>
        <v>0</v>
      </c>
      <c r="F30" s="760">
        <f t="shared" si="4"/>
        <v>0</v>
      </c>
      <c r="G30" s="760">
        <f t="shared" si="4"/>
        <v>0</v>
      </c>
      <c r="H30" s="760">
        <f t="shared" si="4"/>
        <v>0</v>
      </c>
      <c r="I30" s="760">
        <f t="shared" si="4"/>
        <v>-400000</v>
      </c>
      <c r="J30" s="75">
        <f t="shared" si="1"/>
        <v>-400000</v>
      </c>
      <c r="K30" s="75">
        <f t="shared" si="2"/>
        <v>100000</v>
      </c>
      <c r="L30" s="760">
        <f>SUM(L31:L40)</f>
        <v>500000</v>
      </c>
      <c r="M30" s="788">
        <f>SUM(M31:M40)</f>
        <v>500000</v>
      </c>
    </row>
    <row r="31" spans="1:13" ht="13.5">
      <c r="A31" s="901" t="str">
        <f>'Org structure'!E25</f>
        <v>3.1 - Administration Finance</v>
      </c>
      <c r="B31" s="898"/>
      <c r="C31" s="763">
        <v>500000</v>
      </c>
      <c r="D31" s="762"/>
      <c r="E31" s="762"/>
      <c r="F31" s="762"/>
      <c r="G31" s="762"/>
      <c r="H31" s="762"/>
      <c r="I31" s="762">
        <v>-400000</v>
      </c>
      <c r="J31" s="75">
        <f t="shared" si="1"/>
        <v>-400000</v>
      </c>
      <c r="K31" s="75">
        <f t="shared" si="2"/>
        <v>100000</v>
      </c>
      <c r="L31" s="762">
        <v>500000</v>
      </c>
      <c r="M31" s="762">
        <v>500000</v>
      </c>
    </row>
    <row r="32" spans="1:13" ht="13.5">
      <c r="A32" s="901" t="str">
        <f>'Org structure'!E26</f>
        <v>3.2 - Budget office</v>
      </c>
      <c r="B32" s="898"/>
      <c r="C32" s="763"/>
      <c r="D32" s="762"/>
      <c r="E32" s="762"/>
      <c r="F32" s="762"/>
      <c r="G32" s="762"/>
      <c r="H32" s="762"/>
      <c r="I32" s="762"/>
      <c r="J32" s="75">
        <f t="shared" si="1"/>
        <v>0</v>
      </c>
      <c r="K32" s="75">
        <f t="shared" si="2"/>
        <v>0</v>
      </c>
      <c r="L32" s="762"/>
      <c r="M32" s="764"/>
    </row>
    <row r="33" spans="1:13" ht="13.5">
      <c r="A33" s="901" t="str">
        <f>'Org structure'!E27</f>
        <v>3.3 - Revenue</v>
      </c>
      <c r="B33" s="898"/>
      <c r="C33" s="763"/>
      <c r="D33" s="762"/>
      <c r="E33" s="762"/>
      <c r="F33" s="762"/>
      <c r="G33" s="762"/>
      <c r="H33" s="762"/>
      <c r="I33" s="762"/>
      <c r="J33" s="75">
        <f t="shared" si="1"/>
        <v>0</v>
      </c>
      <c r="K33" s="75">
        <f t="shared" si="2"/>
        <v>0</v>
      </c>
      <c r="L33" s="762"/>
      <c r="M33" s="764"/>
    </row>
    <row r="34" spans="1:13" ht="13.5">
      <c r="A34" s="901" t="str">
        <f>'Org structure'!E28</f>
        <v>3.4 - Expenditure</v>
      </c>
      <c r="B34" s="898"/>
      <c r="C34" s="763"/>
      <c r="D34" s="762"/>
      <c r="E34" s="762"/>
      <c r="F34" s="762"/>
      <c r="G34" s="762"/>
      <c r="H34" s="762"/>
      <c r="I34" s="762"/>
      <c r="J34" s="75">
        <f t="shared" si="1"/>
        <v>0</v>
      </c>
      <c r="K34" s="75">
        <f t="shared" si="2"/>
        <v>0</v>
      </c>
      <c r="L34" s="762"/>
      <c r="M34" s="764"/>
    </row>
    <row r="35" spans="1:13" ht="13.5">
      <c r="A35" s="901" t="str">
        <f>'Org structure'!E29</f>
        <v>3.5 - Inventory</v>
      </c>
      <c r="B35" s="898"/>
      <c r="C35" s="763"/>
      <c r="D35" s="762"/>
      <c r="E35" s="762"/>
      <c r="F35" s="762"/>
      <c r="G35" s="762"/>
      <c r="H35" s="762"/>
      <c r="I35" s="762"/>
      <c r="J35" s="75">
        <f t="shared" si="1"/>
        <v>0</v>
      </c>
      <c r="K35" s="75">
        <f t="shared" si="2"/>
        <v>0</v>
      </c>
      <c r="L35" s="762"/>
      <c r="M35" s="764"/>
    </row>
    <row r="36" spans="1:13" ht="13.5">
      <c r="A36" s="901" t="str">
        <f>'Org structure'!E30</f>
        <v>3.6 - Supply Chain Management</v>
      </c>
      <c r="B36" s="898"/>
      <c r="C36" s="763"/>
      <c r="D36" s="762"/>
      <c r="E36" s="762"/>
      <c r="F36" s="762"/>
      <c r="G36" s="762"/>
      <c r="H36" s="762"/>
      <c r="I36" s="762"/>
      <c r="J36" s="75">
        <f t="shared" si="1"/>
        <v>0</v>
      </c>
      <c r="K36" s="75">
        <f t="shared" si="2"/>
        <v>0</v>
      </c>
      <c r="L36" s="762"/>
      <c r="M36" s="764"/>
    </row>
    <row r="37" spans="1:13" ht="13.5">
      <c r="A37" s="901">
        <f>'Org structure'!E31</f>
        <v>0</v>
      </c>
      <c r="B37" s="898"/>
      <c r="C37" s="763"/>
      <c r="D37" s="762"/>
      <c r="E37" s="762"/>
      <c r="F37" s="762"/>
      <c r="G37" s="762"/>
      <c r="H37" s="762"/>
      <c r="I37" s="762"/>
      <c r="J37" s="75">
        <f t="shared" si="1"/>
        <v>0</v>
      </c>
      <c r="K37" s="75">
        <f t="shared" si="2"/>
        <v>0</v>
      </c>
      <c r="L37" s="762"/>
      <c r="M37" s="764"/>
    </row>
    <row r="38" spans="1:13" ht="13.5">
      <c r="A38" s="901">
        <f>'Org structure'!E32</f>
        <v>0</v>
      </c>
      <c r="B38" s="898"/>
      <c r="C38" s="763"/>
      <c r="D38" s="762"/>
      <c r="E38" s="762"/>
      <c r="F38" s="762"/>
      <c r="G38" s="762"/>
      <c r="H38" s="762"/>
      <c r="I38" s="762"/>
      <c r="J38" s="75">
        <f t="shared" si="1"/>
        <v>0</v>
      </c>
      <c r="K38" s="75">
        <f t="shared" si="2"/>
        <v>0</v>
      </c>
      <c r="L38" s="762"/>
      <c r="M38" s="764"/>
    </row>
    <row r="39" spans="1:13" ht="13.5">
      <c r="A39" s="901">
        <f>'Org structure'!E33</f>
        <v>0</v>
      </c>
      <c r="B39" s="898"/>
      <c r="C39" s="763"/>
      <c r="D39" s="762"/>
      <c r="E39" s="762"/>
      <c r="F39" s="762"/>
      <c r="G39" s="762"/>
      <c r="H39" s="762"/>
      <c r="I39" s="762"/>
      <c r="J39" s="75">
        <f t="shared" si="1"/>
        <v>0</v>
      </c>
      <c r="K39" s="75">
        <f t="shared" si="2"/>
        <v>0</v>
      </c>
      <c r="L39" s="762"/>
      <c r="M39" s="764"/>
    </row>
    <row r="40" spans="1:13" ht="13.5">
      <c r="A40" s="901">
        <f>'Org structure'!E34</f>
        <v>0</v>
      </c>
      <c r="B40" s="898"/>
      <c r="C40" s="763"/>
      <c r="D40" s="762"/>
      <c r="E40" s="762"/>
      <c r="F40" s="762"/>
      <c r="G40" s="762"/>
      <c r="H40" s="762"/>
      <c r="I40" s="762"/>
      <c r="J40" s="75">
        <f t="shared" si="1"/>
        <v>0</v>
      </c>
      <c r="K40" s="75">
        <f t="shared" si="2"/>
        <v>0</v>
      </c>
      <c r="L40" s="762"/>
      <c r="M40" s="764"/>
    </row>
    <row r="41" spans="1:13" ht="13.5">
      <c r="A41" s="899" t="str">
        <f>'Org structure'!A5</f>
        <v>Vote 4 - Corporate Services</v>
      </c>
      <c r="B41" s="900"/>
      <c r="C41" s="761">
        <f>SUM(C42:C51)</f>
        <v>860500</v>
      </c>
      <c r="D41" s="760">
        <f t="shared" ref="D41:I41" si="5">SUM(D42:D51)</f>
        <v>0</v>
      </c>
      <c r="E41" s="760">
        <f t="shared" si="5"/>
        <v>0</v>
      </c>
      <c r="F41" s="760">
        <f t="shared" si="5"/>
        <v>0</v>
      </c>
      <c r="G41" s="760">
        <f t="shared" si="5"/>
        <v>0</v>
      </c>
      <c r="H41" s="760">
        <f t="shared" si="5"/>
        <v>0</v>
      </c>
      <c r="I41" s="760">
        <f t="shared" si="5"/>
        <v>-120000</v>
      </c>
      <c r="J41" s="75">
        <f t="shared" si="1"/>
        <v>-120000</v>
      </c>
      <c r="K41" s="75">
        <f t="shared" si="2"/>
        <v>740500</v>
      </c>
      <c r="L41" s="760">
        <f>SUM(L42:L51)</f>
        <v>1000000</v>
      </c>
      <c r="M41" s="788">
        <f>SUM(M42:M51)</f>
        <v>500000</v>
      </c>
    </row>
    <row r="42" spans="1:13" ht="13.5">
      <c r="A42" s="901" t="str">
        <f>'Org structure'!E36</f>
        <v>4.1 - Communications</v>
      </c>
      <c r="B42" s="898"/>
      <c r="C42" s="763">
        <v>0</v>
      </c>
      <c r="D42" s="762"/>
      <c r="E42" s="762"/>
      <c r="F42" s="762"/>
      <c r="G42" s="762"/>
      <c r="H42" s="762"/>
      <c r="I42" s="762"/>
      <c r="J42" s="75">
        <f t="shared" si="1"/>
        <v>0</v>
      </c>
      <c r="K42" s="75">
        <f t="shared" si="2"/>
        <v>0</v>
      </c>
      <c r="L42" s="762"/>
      <c r="M42" s="764"/>
    </row>
    <row r="43" spans="1:13" ht="13.5">
      <c r="A43" s="901" t="str">
        <f>'Org structure'!E37</f>
        <v>4.2 - Public Participation &amp; Project Support</v>
      </c>
      <c r="B43" s="898"/>
      <c r="C43" s="763">
        <v>0</v>
      </c>
      <c r="D43" s="762"/>
      <c r="E43" s="762"/>
      <c r="F43" s="762"/>
      <c r="G43" s="762"/>
      <c r="H43" s="762"/>
      <c r="I43" s="762"/>
      <c r="J43" s="75">
        <f t="shared" si="1"/>
        <v>0</v>
      </c>
      <c r="K43" s="75">
        <f t="shared" si="2"/>
        <v>0</v>
      </c>
      <c r="L43" s="762">
        <v>0</v>
      </c>
      <c r="M43" s="762">
        <v>0</v>
      </c>
    </row>
    <row r="44" spans="1:13" ht="13.5">
      <c r="A44" s="901" t="str">
        <f>'Org structure'!E38</f>
        <v>4.10 - Information Technolgy</v>
      </c>
      <c r="B44" s="898"/>
      <c r="C44" s="763">
        <v>0</v>
      </c>
      <c r="D44" s="762"/>
      <c r="E44" s="762"/>
      <c r="F44" s="762"/>
      <c r="G44" s="762"/>
      <c r="H44" s="762"/>
      <c r="I44" s="762"/>
      <c r="J44" s="75">
        <f t="shared" si="1"/>
        <v>0</v>
      </c>
      <c r="K44" s="75">
        <f t="shared" si="2"/>
        <v>0</v>
      </c>
      <c r="L44" s="762">
        <v>0</v>
      </c>
      <c r="M44" s="762">
        <v>0</v>
      </c>
    </row>
    <row r="45" spans="1:13" ht="13.5">
      <c r="A45" s="901" t="str">
        <f>'Org structure'!E39</f>
        <v>4.4 - Administration HR &amp; Corporate</v>
      </c>
      <c r="B45" s="898"/>
      <c r="C45" s="763">
        <v>296500</v>
      </c>
      <c r="D45" s="762"/>
      <c r="E45" s="762"/>
      <c r="F45" s="762"/>
      <c r="G45" s="762"/>
      <c r="H45" s="762"/>
      <c r="I45" s="762">
        <v>-120000</v>
      </c>
      <c r="J45" s="75">
        <f t="shared" si="1"/>
        <v>-120000</v>
      </c>
      <c r="K45" s="75">
        <f t="shared" si="2"/>
        <v>176500</v>
      </c>
      <c r="L45" s="762">
        <v>1000000</v>
      </c>
      <c r="M45" s="762">
        <v>500000</v>
      </c>
    </row>
    <row r="46" spans="1:13" ht="13.5">
      <c r="A46" s="901" t="str">
        <f>'Org structure'!E40</f>
        <v>4.5 - Human Resources</v>
      </c>
      <c r="B46" s="898"/>
      <c r="C46" s="763">
        <v>0</v>
      </c>
      <c r="D46" s="762"/>
      <c r="E46" s="762"/>
      <c r="F46" s="762"/>
      <c r="G46" s="762"/>
      <c r="H46" s="762"/>
      <c r="I46" s="762"/>
      <c r="J46" s="75">
        <f t="shared" si="1"/>
        <v>0</v>
      </c>
      <c r="K46" s="75">
        <f t="shared" si="2"/>
        <v>0</v>
      </c>
      <c r="L46" s="762">
        <v>0</v>
      </c>
      <c r="M46" s="762">
        <v>0</v>
      </c>
    </row>
    <row r="47" spans="1:13" ht="13.5">
      <c r="A47" s="901" t="str">
        <f>'Org structure'!E41</f>
        <v>4.6 - Occupational Health &amp; safety</v>
      </c>
      <c r="B47" s="898"/>
      <c r="C47" s="763">
        <v>0</v>
      </c>
      <c r="D47" s="762"/>
      <c r="E47" s="762"/>
      <c r="F47" s="762"/>
      <c r="G47" s="762"/>
      <c r="H47" s="762"/>
      <c r="I47" s="762"/>
      <c r="J47" s="75">
        <f t="shared" si="1"/>
        <v>0</v>
      </c>
      <c r="K47" s="75">
        <f t="shared" si="2"/>
        <v>0</v>
      </c>
      <c r="L47" s="762">
        <v>0</v>
      </c>
      <c r="M47" s="762">
        <v>0</v>
      </c>
    </row>
    <row r="48" spans="1:13" ht="13.5">
      <c r="A48" s="901" t="str">
        <f>'Org structure'!E42</f>
        <v>4.8 - Corporate Services</v>
      </c>
      <c r="B48" s="898"/>
      <c r="C48" s="763">
        <v>0</v>
      </c>
      <c r="D48" s="762"/>
      <c r="E48" s="762"/>
      <c r="F48" s="762"/>
      <c r="G48" s="762"/>
      <c r="H48" s="762"/>
      <c r="I48" s="762"/>
      <c r="J48" s="75">
        <f t="shared" si="1"/>
        <v>0</v>
      </c>
      <c r="K48" s="75">
        <f t="shared" si="2"/>
        <v>0</v>
      </c>
      <c r="L48" s="762">
        <v>0</v>
      </c>
      <c r="M48" s="762">
        <v>0</v>
      </c>
    </row>
    <row r="49" spans="1:13" ht="13.5">
      <c r="A49" s="901" t="str">
        <f>'Org structure'!E43</f>
        <v>4.9 - Council Expenditure</v>
      </c>
      <c r="B49" s="898"/>
      <c r="C49" s="763">
        <v>564000</v>
      </c>
      <c r="D49" s="762"/>
      <c r="E49" s="762"/>
      <c r="F49" s="762"/>
      <c r="G49" s="762"/>
      <c r="H49" s="762"/>
      <c r="I49" s="762"/>
      <c r="J49" s="75">
        <f t="shared" si="1"/>
        <v>0</v>
      </c>
      <c r="K49" s="75">
        <f t="shared" si="2"/>
        <v>564000</v>
      </c>
      <c r="L49" s="762">
        <v>0</v>
      </c>
      <c r="M49" s="762">
        <v>0</v>
      </c>
    </row>
    <row r="50" spans="1:13" ht="13.5">
      <c r="A50" s="901" t="str">
        <f>'Org structure'!E44</f>
        <v>4.7 - Legal Services</v>
      </c>
      <c r="B50" s="898"/>
      <c r="C50" s="763"/>
      <c r="D50" s="762"/>
      <c r="E50" s="762"/>
      <c r="F50" s="762"/>
      <c r="G50" s="762"/>
      <c r="H50" s="762"/>
      <c r="I50" s="762"/>
      <c r="J50" s="75">
        <f t="shared" si="1"/>
        <v>0</v>
      </c>
      <c r="K50" s="75">
        <f t="shared" si="2"/>
        <v>0</v>
      </c>
      <c r="L50" s="762"/>
      <c r="M50" s="764"/>
    </row>
    <row r="51" spans="1:13" ht="13.5">
      <c r="A51" s="901">
        <f>'Org structure'!E45</f>
        <v>0</v>
      </c>
      <c r="B51" s="898"/>
      <c r="C51" s="763"/>
      <c r="D51" s="762"/>
      <c r="E51" s="762"/>
      <c r="F51" s="762"/>
      <c r="G51" s="762"/>
      <c r="H51" s="762"/>
      <c r="I51" s="762"/>
      <c r="J51" s="75">
        <f t="shared" si="1"/>
        <v>0</v>
      </c>
      <c r="K51" s="75">
        <f t="shared" si="2"/>
        <v>0</v>
      </c>
      <c r="L51" s="762"/>
      <c r="M51" s="764"/>
    </row>
    <row r="52" spans="1:13" ht="13.5">
      <c r="A52" s="899" t="str">
        <f>'Org structure'!A6</f>
        <v>Vote 5 - Community Services</v>
      </c>
      <c r="B52" s="900"/>
      <c r="C52" s="761">
        <f>SUM(C53:C62)</f>
        <v>100000</v>
      </c>
      <c r="D52" s="760">
        <f t="shared" ref="D52:I52" si="6">SUM(D53:D62)</f>
        <v>0</v>
      </c>
      <c r="E52" s="760">
        <f t="shared" si="6"/>
        <v>0</v>
      </c>
      <c r="F52" s="760">
        <f t="shared" si="6"/>
        <v>0</v>
      </c>
      <c r="G52" s="760">
        <f t="shared" si="6"/>
        <v>0</v>
      </c>
      <c r="H52" s="760">
        <f t="shared" si="6"/>
        <v>0</v>
      </c>
      <c r="I52" s="760">
        <f t="shared" si="6"/>
        <v>0</v>
      </c>
      <c r="J52" s="75">
        <f t="shared" si="1"/>
        <v>0</v>
      </c>
      <c r="K52" s="75">
        <f t="shared" si="2"/>
        <v>100000</v>
      </c>
      <c r="L52" s="760">
        <f>SUM(L53:L62)</f>
        <v>4025000</v>
      </c>
      <c r="M52" s="788">
        <f>SUM(M53:M62)</f>
        <v>1430000</v>
      </c>
    </row>
    <row r="53" spans="1:13" ht="13.5">
      <c r="A53" s="901" t="str">
        <f>'Org structure'!E47</f>
        <v>5.1 - Parks &amp; Recreation</v>
      </c>
      <c r="B53" s="898"/>
      <c r="C53" s="763">
        <v>0</v>
      </c>
      <c r="D53" s="762">
        <v>0</v>
      </c>
      <c r="E53" s="762">
        <v>0</v>
      </c>
      <c r="F53" s="762"/>
      <c r="G53" s="762"/>
      <c r="H53" s="762"/>
      <c r="I53" s="762"/>
      <c r="J53" s="75">
        <f t="shared" si="1"/>
        <v>0</v>
      </c>
      <c r="K53" s="75">
        <f t="shared" si="2"/>
        <v>0</v>
      </c>
      <c r="L53" s="762"/>
      <c r="M53" s="764"/>
    </row>
    <row r="54" spans="1:13" ht="13.5">
      <c r="A54" s="901" t="str">
        <f>'Org structure'!E48</f>
        <v>5.2 - Administration Community Services</v>
      </c>
      <c r="B54" s="898"/>
      <c r="C54" s="763">
        <v>100000</v>
      </c>
      <c r="D54" s="762"/>
      <c r="E54" s="762"/>
      <c r="F54" s="762"/>
      <c r="G54" s="762"/>
      <c r="H54" s="762"/>
      <c r="I54" s="762"/>
      <c r="J54" s="75">
        <f t="shared" si="1"/>
        <v>0</v>
      </c>
      <c r="K54" s="75">
        <f t="shared" si="2"/>
        <v>100000</v>
      </c>
      <c r="L54" s="762">
        <v>100000</v>
      </c>
      <c r="M54" s="762">
        <v>0</v>
      </c>
    </row>
    <row r="55" spans="1:13" ht="13.5">
      <c r="A55" s="901" t="str">
        <f>'Org structure'!E49</f>
        <v>5.3 - Community Health Services</v>
      </c>
      <c r="B55" s="898"/>
      <c r="C55" s="763">
        <v>0</v>
      </c>
      <c r="D55" s="762"/>
      <c r="E55" s="762"/>
      <c r="F55" s="762"/>
      <c r="G55" s="762"/>
      <c r="H55" s="762"/>
      <c r="I55" s="762"/>
      <c r="J55" s="75">
        <f t="shared" si="1"/>
        <v>0</v>
      </c>
      <c r="K55" s="75">
        <f t="shared" si="2"/>
        <v>0</v>
      </c>
      <c r="L55" s="762">
        <v>0</v>
      </c>
      <c r="M55" s="762">
        <v>0</v>
      </c>
    </row>
    <row r="56" spans="1:13" ht="13.5">
      <c r="A56" s="901" t="str">
        <f>'Org structure'!E50</f>
        <v>5.4 - Enviromental Health Services</v>
      </c>
      <c r="B56" s="902"/>
      <c r="C56" s="763">
        <v>0</v>
      </c>
      <c r="D56" s="762"/>
      <c r="E56" s="762"/>
      <c r="F56" s="762"/>
      <c r="G56" s="762"/>
      <c r="H56" s="762"/>
      <c r="I56" s="762"/>
      <c r="J56" s="75">
        <f t="shared" si="1"/>
        <v>0</v>
      </c>
      <c r="K56" s="75">
        <f t="shared" si="2"/>
        <v>0</v>
      </c>
      <c r="L56" s="762">
        <v>0</v>
      </c>
      <c r="M56" s="762">
        <v>0</v>
      </c>
    </row>
    <row r="57" spans="1:13" ht="13.5">
      <c r="A57" s="901" t="str">
        <f>'Org structure'!E51</f>
        <v>5.5 - Library Services</v>
      </c>
      <c r="B57" s="898"/>
      <c r="C57" s="763">
        <v>0</v>
      </c>
      <c r="D57" s="762"/>
      <c r="E57" s="762"/>
      <c r="F57" s="762"/>
      <c r="G57" s="762"/>
      <c r="H57" s="762"/>
      <c r="I57" s="762"/>
      <c r="J57" s="75">
        <f t="shared" si="1"/>
        <v>0</v>
      </c>
      <c r="K57" s="75">
        <f t="shared" si="2"/>
        <v>0</v>
      </c>
      <c r="L57" s="762">
        <v>0</v>
      </c>
      <c r="M57" s="762">
        <v>0</v>
      </c>
    </row>
    <row r="58" spans="1:13" ht="13.5">
      <c r="A58" s="901" t="str">
        <f>'Org structure'!E52</f>
        <v>5.6 - Solid Waste</v>
      </c>
      <c r="B58" s="898"/>
      <c r="C58" s="763">
        <v>0</v>
      </c>
      <c r="D58" s="762"/>
      <c r="E58" s="762"/>
      <c r="F58" s="762"/>
      <c r="G58" s="762"/>
      <c r="H58" s="762"/>
      <c r="I58" s="762"/>
      <c r="J58" s="75">
        <f t="shared" si="1"/>
        <v>0</v>
      </c>
      <c r="K58" s="75">
        <f t="shared" si="2"/>
        <v>0</v>
      </c>
      <c r="L58" s="762">
        <v>3025000</v>
      </c>
      <c r="M58" s="762">
        <v>1430000</v>
      </c>
    </row>
    <row r="59" spans="1:13" ht="13.5">
      <c r="A59" s="901" t="str">
        <f>'Org structure'!E53</f>
        <v>5.7 - Street Cleansing</v>
      </c>
      <c r="B59" s="898"/>
      <c r="C59" s="763">
        <v>0</v>
      </c>
      <c r="D59" s="762"/>
      <c r="E59" s="762"/>
      <c r="F59" s="762"/>
      <c r="G59" s="762"/>
      <c r="H59" s="762"/>
      <c r="I59" s="762"/>
      <c r="J59" s="75">
        <f t="shared" si="1"/>
        <v>0</v>
      </c>
      <c r="K59" s="75">
        <f t="shared" si="2"/>
        <v>0</v>
      </c>
      <c r="L59" s="762">
        <v>0</v>
      </c>
      <c r="M59" s="762">
        <v>0</v>
      </c>
    </row>
    <row r="60" spans="1:13" ht="13.5">
      <c r="A60" s="901" t="str">
        <f>'Org structure'!E54</f>
        <v>5.8 - Public Toilets</v>
      </c>
      <c r="B60" s="898"/>
      <c r="C60" s="763">
        <v>0</v>
      </c>
      <c r="D60" s="762"/>
      <c r="E60" s="762"/>
      <c r="F60" s="762"/>
      <c r="G60" s="762"/>
      <c r="H60" s="762"/>
      <c r="I60" s="762"/>
      <c r="J60" s="75">
        <f t="shared" si="1"/>
        <v>0</v>
      </c>
      <c r="K60" s="75">
        <f t="shared" si="2"/>
        <v>0</v>
      </c>
      <c r="L60" s="762">
        <v>900000</v>
      </c>
      <c r="M60" s="762">
        <v>0</v>
      </c>
    </row>
    <row r="61" spans="1:13" ht="13.5">
      <c r="A61" s="901">
        <f>'Org structure'!E55</f>
        <v>0</v>
      </c>
      <c r="B61" s="898"/>
      <c r="C61" s="763"/>
      <c r="D61" s="762"/>
      <c r="E61" s="762"/>
      <c r="F61" s="762"/>
      <c r="G61" s="762"/>
      <c r="H61" s="762"/>
      <c r="I61" s="762"/>
      <c r="J61" s="75">
        <f t="shared" si="1"/>
        <v>0</v>
      </c>
      <c r="K61" s="75">
        <f t="shared" si="2"/>
        <v>0</v>
      </c>
      <c r="L61" s="762"/>
      <c r="M61" s="764"/>
    </row>
    <row r="62" spans="1:13" ht="13.5">
      <c r="A62" s="901">
        <f>'Org structure'!E56</f>
        <v>0</v>
      </c>
      <c r="B62" s="898"/>
      <c r="C62" s="763"/>
      <c r="D62" s="762"/>
      <c r="E62" s="762"/>
      <c r="F62" s="762"/>
      <c r="G62" s="762"/>
      <c r="H62" s="762"/>
      <c r="I62" s="762"/>
      <c r="J62" s="75">
        <f t="shared" si="1"/>
        <v>0</v>
      </c>
      <c r="K62" s="75">
        <f t="shared" si="2"/>
        <v>0</v>
      </c>
      <c r="L62" s="762"/>
      <c r="M62" s="764"/>
    </row>
    <row r="63" spans="1:13" ht="13.5">
      <c r="A63" s="899" t="str">
        <f>'Org structure'!A7</f>
        <v>Vote 6 - Community Services</v>
      </c>
      <c r="B63" s="900"/>
      <c r="C63" s="761">
        <f>SUM(C64:C73)</f>
        <v>500000</v>
      </c>
      <c r="D63" s="760">
        <f t="shared" ref="D63:I63" si="7">SUM(D64:D73)</f>
        <v>0</v>
      </c>
      <c r="E63" s="760">
        <f t="shared" si="7"/>
        <v>0</v>
      </c>
      <c r="F63" s="760">
        <f t="shared" si="7"/>
        <v>0</v>
      </c>
      <c r="G63" s="760">
        <f t="shared" si="7"/>
        <v>0</v>
      </c>
      <c r="H63" s="760">
        <f t="shared" si="7"/>
        <v>0</v>
      </c>
      <c r="I63" s="760">
        <f t="shared" si="7"/>
        <v>-470000</v>
      </c>
      <c r="J63" s="75">
        <f t="shared" si="1"/>
        <v>-470000</v>
      </c>
      <c r="K63" s="75">
        <f t="shared" si="2"/>
        <v>30000</v>
      </c>
      <c r="L63" s="760">
        <f>SUM(L64:L73)</f>
        <v>500000</v>
      </c>
      <c r="M63" s="788">
        <f>SUM(M64:M73)</f>
        <v>1035000</v>
      </c>
    </row>
    <row r="64" spans="1:13" ht="13.5">
      <c r="A64" s="901" t="str">
        <f>'Org structure'!E58</f>
        <v>6.2 - Administration Transport,safety,Security</v>
      </c>
      <c r="B64" s="898"/>
      <c r="C64" s="763">
        <v>500000</v>
      </c>
      <c r="D64" s="762"/>
      <c r="E64" s="762"/>
      <c r="F64" s="762"/>
      <c r="G64" s="762"/>
      <c r="H64" s="762"/>
      <c r="I64" s="762">
        <v>-470000</v>
      </c>
      <c r="J64" s="75">
        <f t="shared" si="1"/>
        <v>-470000</v>
      </c>
      <c r="K64" s="75">
        <f t="shared" si="2"/>
        <v>30000</v>
      </c>
      <c r="L64" s="762">
        <v>500000</v>
      </c>
      <c r="M64" s="762">
        <v>500000</v>
      </c>
    </row>
    <row r="65" spans="1:13" ht="13.5">
      <c r="A65" s="901" t="str">
        <f>'Org structure'!E59</f>
        <v>6.3 - Vehicle licencing</v>
      </c>
      <c r="B65" s="898"/>
      <c r="C65" s="763">
        <v>0</v>
      </c>
      <c r="D65" s="762"/>
      <c r="E65" s="762"/>
      <c r="F65" s="762"/>
      <c r="G65" s="762"/>
      <c r="H65" s="762"/>
      <c r="I65" s="762"/>
      <c r="J65" s="75">
        <f t="shared" si="1"/>
        <v>0</v>
      </c>
      <c r="K65" s="75">
        <f t="shared" si="2"/>
        <v>0</v>
      </c>
      <c r="L65" s="762">
        <v>0</v>
      </c>
      <c r="M65" s="762">
        <v>535000</v>
      </c>
    </row>
    <row r="66" spans="1:13" ht="13.5">
      <c r="A66" s="901" t="str">
        <f>'Org structure'!E60</f>
        <v>6.1 - Traffic services</v>
      </c>
      <c r="B66" s="898"/>
      <c r="C66" s="763">
        <v>0</v>
      </c>
      <c r="D66" s="762"/>
      <c r="E66" s="762"/>
      <c r="F66" s="762"/>
      <c r="G66" s="762"/>
      <c r="H66" s="762"/>
      <c r="I66" s="762"/>
      <c r="J66" s="75">
        <f t="shared" si="1"/>
        <v>0</v>
      </c>
      <c r="K66" s="75">
        <f t="shared" si="2"/>
        <v>0</v>
      </c>
      <c r="L66" s="762">
        <v>0</v>
      </c>
      <c r="M66" s="762">
        <v>0</v>
      </c>
    </row>
    <row r="67" spans="1:13" ht="13.5">
      <c r="A67" s="901">
        <f>'Org structure'!E61</f>
        <v>0</v>
      </c>
      <c r="B67" s="898"/>
      <c r="C67" s="763"/>
      <c r="D67" s="762"/>
      <c r="E67" s="762"/>
      <c r="F67" s="762"/>
      <c r="G67" s="762"/>
      <c r="H67" s="762"/>
      <c r="I67" s="762"/>
      <c r="J67" s="75">
        <f t="shared" si="1"/>
        <v>0</v>
      </c>
      <c r="K67" s="75">
        <f t="shared" si="2"/>
        <v>0</v>
      </c>
      <c r="L67" s="762"/>
      <c r="M67" s="762"/>
    </row>
    <row r="68" spans="1:13" ht="13.5">
      <c r="A68" s="901">
        <f>'Org structure'!E62</f>
        <v>0</v>
      </c>
      <c r="B68" s="898"/>
      <c r="C68" s="763"/>
      <c r="D68" s="762"/>
      <c r="E68" s="762"/>
      <c r="F68" s="762"/>
      <c r="G68" s="762"/>
      <c r="H68" s="762"/>
      <c r="I68" s="762"/>
      <c r="J68" s="75">
        <f t="shared" si="1"/>
        <v>0</v>
      </c>
      <c r="K68" s="75">
        <f t="shared" si="2"/>
        <v>0</v>
      </c>
      <c r="L68" s="762"/>
      <c r="M68" s="764"/>
    </row>
    <row r="69" spans="1:13" ht="13.5">
      <c r="A69" s="901">
        <f>'Org structure'!E63</f>
        <v>0</v>
      </c>
      <c r="B69" s="898"/>
      <c r="C69" s="763"/>
      <c r="D69" s="762"/>
      <c r="E69" s="762"/>
      <c r="F69" s="762"/>
      <c r="G69" s="762"/>
      <c r="H69" s="762"/>
      <c r="I69" s="762"/>
      <c r="J69" s="75">
        <f t="shared" si="1"/>
        <v>0</v>
      </c>
      <c r="K69" s="75">
        <f t="shared" si="2"/>
        <v>0</v>
      </c>
      <c r="L69" s="762"/>
      <c r="M69" s="764"/>
    </row>
    <row r="70" spans="1:13" ht="13.5">
      <c r="A70" s="901">
        <f>'Org structure'!E64</f>
        <v>0</v>
      </c>
      <c r="B70" s="898"/>
      <c r="C70" s="763"/>
      <c r="D70" s="762"/>
      <c r="E70" s="762"/>
      <c r="F70" s="762"/>
      <c r="G70" s="762"/>
      <c r="H70" s="762"/>
      <c r="I70" s="762"/>
      <c r="J70" s="75">
        <f t="shared" si="1"/>
        <v>0</v>
      </c>
      <c r="K70" s="75">
        <f t="shared" si="2"/>
        <v>0</v>
      </c>
      <c r="L70" s="762"/>
      <c r="M70" s="764"/>
    </row>
    <row r="71" spans="1:13" ht="13.5">
      <c r="A71" s="901">
        <f>'Org structure'!E65</f>
        <v>0</v>
      </c>
      <c r="B71" s="898"/>
      <c r="C71" s="763"/>
      <c r="D71" s="762"/>
      <c r="E71" s="762"/>
      <c r="F71" s="762"/>
      <c r="G71" s="762"/>
      <c r="H71" s="762"/>
      <c r="I71" s="762"/>
      <c r="J71" s="75">
        <f t="shared" si="1"/>
        <v>0</v>
      </c>
      <c r="K71" s="75">
        <f t="shared" si="2"/>
        <v>0</v>
      </c>
      <c r="L71" s="762"/>
      <c r="M71" s="764"/>
    </row>
    <row r="72" spans="1:13" ht="13.5">
      <c r="A72" s="901">
        <f>'Org structure'!E66</f>
        <v>0</v>
      </c>
      <c r="B72" s="898"/>
      <c r="C72" s="763"/>
      <c r="D72" s="762"/>
      <c r="E72" s="762"/>
      <c r="F72" s="762"/>
      <c r="G72" s="762"/>
      <c r="H72" s="762"/>
      <c r="I72" s="762"/>
      <c r="J72" s="75">
        <f t="shared" ref="J72:J135" si="8">SUM(E72:I72)</f>
        <v>0</v>
      </c>
      <c r="K72" s="75">
        <f t="shared" ref="K72:K135" si="9">IF(D72=0,C72+J72,D72+J72)</f>
        <v>0</v>
      </c>
      <c r="L72" s="762"/>
      <c r="M72" s="764"/>
    </row>
    <row r="73" spans="1:13" ht="13.5">
      <c r="A73" s="901">
        <f>'Org structure'!E67</f>
        <v>0</v>
      </c>
      <c r="B73" s="898"/>
      <c r="C73" s="763"/>
      <c r="D73" s="762"/>
      <c r="E73" s="762"/>
      <c r="F73" s="762"/>
      <c r="G73" s="762"/>
      <c r="H73" s="762"/>
      <c r="I73" s="762"/>
      <c r="J73" s="75">
        <f t="shared" si="8"/>
        <v>0</v>
      </c>
      <c r="K73" s="75">
        <f t="shared" si="9"/>
        <v>0</v>
      </c>
      <c r="L73" s="762"/>
      <c r="M73" s="764"/>
    </row>
    <row r="74" spans="1:13" ht="13.5">
      <c r="A74" s="899" t="str">
        <f>'Org structure'!A8</f>
        <v>Vote 7 - Electrical Engineering Services</v>
      </c>
      <c r="B74" s="900"/>
      <c r="C74" s="761">
        <f>SUM(C75:C84)</f>
        <v>39500000</v>
      </c>
      <c r="D74" s="760">
        <f t="shared" ref="D74:I74" si="10">SUM(D75:D84)</f>
        <v>0</v>
      </c>
      <c r="E74" s="760">
        <f t="shared" si="10"/>
        <v>0</v>
      </c>
      <c r="F74" s="760">
        <f t="shared" si="10"/>
        <v>0</v>
      </c>
      <c r="G74" s="760">
        <f t="shared" si="10"/>
        <v>0</v>
      </c>
      <c r="H74" s="760">
        <f t="shared" si="10"/>
        <v>2000000</v>
      </c>
      <c r="I74" s="760">
        <f t="shared" si="10"/>
        <v>-5690000</v>
      </c>
      <c r="J74" s="75">
        <f t="shared" si="8"/>
        <v>-3690000</v>
      </c>
      <c r="K74" s="75">
        <f t="shared" si="9"/>
        <v>35810000</v>
      </c>
      <c r="L74" s="760">
        <f>SUM(L75:L84)</f>
        <v>43469120</v>
      </c>
      <c r="M74" s="788">
        <f>SUM(M75:M84)</f>
        <v>75182130</v>
      </c>
    </row>
    <row r="75" spans="1:13" ht="13.5">
      <c r="A75" s="901" t="str">
        <f>'Org structure'!E69</f>
        <v>7.1 - Administration Electrical Engineering</v>
      </c>
      <c r="B75" s="898"/>
      <c r="C75" s="763">
        <v>0</v>
      </c>
      <c r="D75" s="762"/>
      <c r="E75" s="762"/>
      <c r="F75" s="762"/>
      <c r="G75" s="762"/>
      <c r="H75" s="762"/>
      <c r="I75" s="762"/>
      <c r="J75" s="75">
        <f t="shared" si="8"/>
        <v>0</v>
      </c>
      <c r="K75" s="75">
        <f t="shared" si="9"/>
        <v>0</v>
      </c>
      <c r="L75" s="762">
        <v>0</v>
      </c>
      <c r="M75" s="762">
        <v>0</v>
      </c>
    </row>
    <row r="76" spans="1:13" ht="13.5">
      <c r="A76" s="901" t="str">
        <f>'Org structure'!E70</f>
        <v>7.2 - Operations &amp; Maintenance: Rural</v>
      </c>
      <c r="B76" s="898"/>
      <c r="C76" s="763">
        <v>16750000</v>
      </c>
      <c r="D76" s="762"/>
      <c r="E76" s="762"/>
      <c r="F76" s="762"/>
      <c r="G76" s="762"/>
      <c r="H76" s="762"/>
      <c r="I76" s="762">
        <f>-8000000-170000-300000</f>
        <v>-8470000</v>
      </c>
      <c r="J76" s="75">
        <f t="shared" si="8"/>
        <v>-8470000</v>
      </c>
      <c r="K76" s="75">
        <f t="shared" si="9"/>
        <v>8280000</v>
      </c>
      <c r="L76" s="762">
        <v>13791500</v>
      </c>
      <c r="M76" s="762">
        <v>40487793</v>
      </c>
    </row>
    <row r="77" spans="1:13" ht="13.5">
      <c r="A77" s="901" t="str">
        <f>'Org structure'!E71</f>
        <v>7.3 - Operations &amp; Maintenance: Town</v>
      </c>
      <c r="B77" s="898"/>
      <c r="C77" s="763">
        <v>22750000</v>
      </c>
      <c r="D77" s="762"/>
      <c r="E77" s="762"/>
      <c r="F77" s="762"/>
      <c r="G77" s="762"/>
      <c r="H77" s="762">
        <v>2000000</v>
      </c>
      <c r="I77" s="762">
        <f>4500000-1500000-220000</f>
        <v>2780000</v>
      </c>
      <c r="J77" s="75">
        <f t="shared" si="8"/>
        <v>4780000</v>
      </c>
      <c r="K77" s="75">
        <f t="shared" si="9"/>
        <v>27530000</v>
      </c>
      <c r="L77" s="762">
        <v>29677620</v>
      </c>
      <c r="M77" s="762">
        <v>34694337</v>
      </c>
    </row>
    <row r="78" spans="1:13" ht="13.5">
      <c r="A78" s="901">
        <f>'Org structure'!E72</f>
        <v>0</v>
      </c>
      <c r="B78" s="898"/>
      <c r="C78" s="763"/>
      <c r="D78" s="762"/>
      <c r="E78" s="762"/>
      <c r="F78" s="762"/>
      <c r="G78" s="762"/>
      <c r="H78" s="762"/>
      <c r="I78" s="762"/>
      <c r="J78" s="75">
        <f t="shared" si="8"/>
        <v>0</v>
      </c>
      <c r="K78" s="75">
        <f t="shared" si="9"/>
        <v>0</v>
      </c>
      <c r="L78" s="762"/>
      <c r="M78" s="762"/>
    </row>
    <row r="79" spans="1:13" ht="13.5">
      <c r="A79" s="901">
        <f>'Org structure'!E73</f>
        <v>0</v>
      </c>
      <c r="B79" s="898"/>
      <c r="C79" s="763"/>
      <c r="D79" s="762"/>
      <c r="E79" s="762"/>
      <c r="F79" s="762"/>
      <c r="G79" s="762"/>
      <c r="H79" s="762"/>
      <c r="I79" s="762"/>
      <c r="J79" s="75">
        <f t="shared" si="8"/>
        <v>0</v>
      </c>
      <c r="K79" s="75">
        <f t="shared" si="9"/>
        <v>0</v>
      </c>
      <c r="L79" s="762"/>
      <c r="M79" s="764"/>
    </row>
    <row r="80" spans="1:13" ht="13.5">
      <c r="A80" s="901">
        <f>'Org structure'!E74</f>
        <v>0</v>
      </c>
      <c r="B80" s="898"/>
      <c r="C80" s="763"/>
      <c r="D80" s="762"/>
      <c r="E80" s="762"/>
      <c r="F80" s="762"/>
      <c r="G80" s="762"/>
      <c r="H80" s="762"/>
      <c r="I80" s="762"/>
      <c r="J80" s="75">
        <f t="shared" si="8"/>
        <v>0</v>
      </c>
      <c r="K80" s="75">
        <f t="shared" si="9"/>
        <v>0</v>
      </c>
      <c r="L80" s="762"/>
      <c r="M80" s="764"/>
    </row>
    <row r="81" spans="1:13" ht="13.5">
      <c r="A81" s="901">
        <f>'Org structure'!E75</f>
        <v>0</v>
      </c>
      <c r="B81" s="898"/>
      <c r="C81" s="763"/>
      <c r="D81" s="762"/>
      <c r="E81" s="762"/>
      <c r="F81" s="762"/>
      <c r="G81" s="762"/>
      <c r="H81" s="762"/>
      <c r="I81" s="762"/>
      <c r="J81" s="75">
        <f t="shared" si="8"/>
        <v>0</v>
      </c>
      <c r="K81" s="75">
        <f t="shared" si="9"/>
        <v>0</v>
      </c>
      <c r="L81" s="762"/>
      <c r="M81" s="764"/>
    </row>
    <row r="82" spans="1:13" ht="13.5">
      <c r="A82" s="901">
        <f>'Org structure'!E76</f>
        <v>0</v>
      </c>
      <c r="B82" s="898"/>
      <c r="C82" s="763"/>
      <c r="D82" s="762"/>
      <c r="E82" s="762"/>
      <c r="F82" s="762"/>
      <c r="G82" s="762"/>
      <c r="H82" s="762"/>
      <c r="I82" s="762"/>
      <c r="J82" s="75">
        <f t="shared" si="8"/>
        <v>0</v>
      </c>
      <c r="K82" s="75">
        <f t="shared" si="9"/>
        <v>0</v>
      </c>
      <c r="L82" s="762"/>
      <c r="M82" s="764"/>
    </row>
    <row r="83" spans="1:13" ht="13.5">
      <c r="A83" s="901">
        <f>'Org structure'!E77</f>
        <v>0</v>
      </c>
      <c r="B83" s="898"/>
      <c r="C83" s="763"/>
      <c r="D83" s="762"/>
      <c r="E83" s="762"/>
      <c r="F83" s="762"/>
      <c r="G83" s="762"/>
      <c r="H83" s="762"/>
      <c r="I83" s="762"/>
      <c r="J83" s="75">
        <f t="shared" si="8"/>
        <v>0</v>
      </c>
      <c r="K83" s="75">
        <f t="shared" si="9"/>
        <v>0</v>
      </c>
      <c r="L83" s="762"/>
      <c r="M83" s="764"/>
    </row>
    <row r="84" spans="1:13" ht="13.5">
      <c r="A84" s="901">
        <f>'Org structure'!E78</f>
        <v>0</v>
      </c>
      <c r="B84" s="898"/>
      <c r="C84" s="763"/>
      <c r="D84" s="762"/>
      <c r="E84" s="762"/>
      <c r="F84" s="762"/>
      <c r="G84" s="762"/>
      <c r="H84" s="762"/>
      <c r="I84" s="762"/>
      <c r="J84" s="75">
        <f t="shared" si="8"/>
        <v>0</v>
      </c>
      <c r="K84" s="75">
        <f t="shared" si="9"/>
        <v>0</v>
      </c>
      <c r="L84" s="762"/>
      <c r="M84" s="764"/>
    </row>
    <row r="85" spans="1:13" ht="13.5">
      <c r="A85" s="899" t="str">
        <f>'Org structure'!A9</f>
        <v>Vote 8 - Engineering Services</v>
      </c>
      <c r="B85" s="898"/>
      <c r="C85" s="761">
        <f>SUM(C86:C95)</f>
        <v>116195347</v>
      </c>
      <c r="D85" s="760">
        <f t="shared" ref="D85:I85" si="11">SUM(D86:D95)</f>
        <v>0</v>
      </c>
      <c r="E85" s="760">
        <f t="shared" si="11"/>
        <v>0</v>
      </c>
      <c r="F85" s="760">
        <f t="shared" si="11"/>
        <v>0</v>
      </c>
      <c r="G85" s="760">
        <f t="shared" si="11"/>
        <v>0</v>
      </c>
      <c r="H85" s="760">
        <f t="shared" si="11"/>
        <v>0</v>
      </c>
      <c r="I85" s="760">
        <f t="shared" si="11"/>
        <v>31682614</v>
      </c>
      <c r="J85" s="75">
        <f t="shared" si="8"/>
        <v>31682614</v>
      </c>
      <c r="K85" s="75">
        <f t="shared" si="9"/>
        <v>147877961</v>
      </c>
      <c r="L85" s="760">
        <f>SUM(L86:L95)</f>
        <v>111143556</v>
      </c>
      <c r="M85" s="788">
        <f>SUM(M86:M95)</f>
        <v>122528218</v>
      </c>
    </row>
    <row r="86" spans="1:13" ht="13.5">
      <c r="A86" s="901" t="str">
        <f>'Org structure'!E80</f>
        <v>8.1 - Fleet Management</v>
      </c>
      <c r="B86" s="898"/>
      <c r="C86" s="763">
        <v>0</v>
      </c>
      <c r="D86" s="762"/>
      <c r="E86" s="762"/>
      <c r="F86" s="762"/>
      <c r="G86" s="762"/>
      <c r="H86" s="762"/>
      <c r="I86" s="762"/>
      <c r="J86" s="75">
        <f t="shared" si="8"/>
        <v>0</v>
      </c>
      <c r="K86" s="75">
        <f t="shared" si="9"/>
        <v>0</v>
      </c>
      <c r="L86" s="762">
        <v>0</v>
      </c>
      <c r="M86" s="762">
        <v>0</v>
      </c>
    </row>
    <row r="87" spans="1:13" ht="13.5">
      <c r="A87" s="901" t="str">
        <f>'Org structure'!E81</f>
        <v>8.2 - Administration Civil Engineering</v>
      </c>
      <c r="B87" s="898"/>
      <c r="C87" s="763">
        <v>500000</v>
      </c>
      <c r="D87" s="762"/>
      <c r="E87" s="762"/>
      <c r="F87" s="762"/>
      <c r="G87" s="762"/>
      <c r="H87" s="762"/>
      <c r="I87" s="762">
        <v>-470000</v>
      </c>
      <c r="J87" s="75">
        <f t="shared" si="8"/>
        <v>-470000</v>
      </c>
      <c r="K87" s="75">
        <f t="shared" si="9"/>
        <v>30000</v>
      </c>
      <c r="L87" s="762">
        <v>500000</v>
      </c>
      <c r="M87" s="762">
        <v>500000</v>
      </c>
    </row>
    <row r="88" spans="1:13" ht="13.5">
      <c r="A88" s="901" t="str">
        <f>'Org structure'!E82</f>
        <v>8.3 - Roads &amp; stormwater Management</v>
      </c>
      <c r="B88" s="898"/>
      <c r="C88" s="763">
        <v>9500000</v>
      </c>
      <c r="D88" s="762"/>
      <c r="E88" s="762"/>
      <c r="F88" s="762"/>
      <c r="G88" s="762"/>
      <c r="H88" s="762"/>
      <c r="I88" s="762">
        <f>9555000+13143296+1656704-976140-7000000</f>
        <v>16378860</v>
      </c>
      <c r="J88" s="75">
        <f t="shared" si="8"/>
        <v>16378860</v>
      </c>
      <c r="K88" s="75">
        <f t="shared" si="9"/>
        <v>25878860</v>
      </c>
      <c r="L88" s="762">
        <v>15065500</v>
      </c>
      <c r="M88" s="762">
        <v>16553810</v>
      </c>
    </row>
    <row r="89" spans="1:13" ht="13.5">
      <c r="A89" s="901" t="str">
        <f>'Org structure'!E83</f>
        <v>8.4 - Water Networks</v>
      </c>
      <c r="B89" s="898"/>
      <c r="C89" s="763">
        <v>0</v>
      </c>
      <c r="D89" s="762"/>
      <c r="E89" s="762"/>
      <c r="F89" s="762"/>
      <c r="G89" s="762"/>
      <c r="H89" s="762"/>
      <c r="I89" s="762"/>
      <c r="J89" s="75">
        <f t="shared" si="8"/>
        <v>0</v>
      </c>
      <c r="K89" s="75">
        <f t="shared" si="9"/>
        <v>0</v>
      </c>
      <c r="L89" s="762">
        <v>0</v>
      </c>
      <c r="M89" s="762">
        <v>0</v>
      </c>
    </row>
    <row r="90" spans="1:13" ht="13.5">
      <c r="A90" s="901" t="str">
        <f>'Org structure'!E84</f>
        <v>8.5 - Water Purification</v>
      </c>
      <c r="B90" s="898"/>
      <c r="C90" s="763">
        <v>0</v>
      </c>
      <c r="D90" s="762"/>
      <c r="E90" s="762"/>
      <c r="F90" s="762"/>
      <c r="G90" s="762"/>
      <c r="H90" s="762"/>
      <c r="I90" s="762"/>
      <c r="J90" s="75">
        <f t="shared" si="8"/>
        <v>0</v>
      </c>
      <c r="K90" s="75">
        <f t="shared" si="9"/>
        <v>0</v>
      </c>
      <c r="L90" s="762">
        <v>0</v>
      </c>
      <c r="M90" s="762">
        <v>0</v>
      </c>
    </row>
    <row r="91" spans="1:13" ht="13.5">
      <c r="A91" s="901" t="str">
        <f>'Org structure'!E85</f>
        <v>8.6 - Building &amp; Housing</v>
      </c>
      <c r="B91" s="898"/>
      <c r="C91" s="763">
        <v>0</v>
      </c>
      <c r="D91" s="762"/>
      <c r="E91" s="762"/>
      <c r="F91" s="762"/>
      <c r="G91" s="762"/>
      <c r="H91" s="762"/>
      <c r="I91" s="762"/>
      <c r="J91" s="75">
        <f t="shared" si="8"/>
        <v>0</v>
      </c>
      <c r="K91" s="75">
        <f t="shared" si="9"/>
        <v>0</v>
      </c>
      <c r="L91" s="762">
        <v>200000</v>
      </c>
      <c r="M91" s="762">
        <v>2290000</v>
      </c>
    </row>
    <row r="92" spans="1:13" ht="13.5">
      <c r="A92" s="901" t="str">
        <f>'Org structure'!E86</f>
        <v>8.7 - Project Management</v>
      </c>
      <c r="B92" s="898"/>
      <c r="C92" s="763">
        <v>106195347</v>
      </c>
      <c r="D92" s="762"/>
      <c r="E92" s="762"/>
      <c r="F92" s="762"/>
      <c r="G92" s="762"/>
      <c r="H92" s="762"/>
      <c r="I92" s="762">
        <f>976140+12497614+2300000</f>
        <v>15773754</v>
      </c>
      <c r="J92" s="75">
        <f t="shared" si="8"/>
        <v>15773754</v>
      </c>
      <c r="K92" s="75">
        <f t="shared" si="9"/>
        <v>121969101</v>
      </c>
      <c r="L92" s="762">
        <v>95378056</v>
      </c>
      <c r="M92" s="762">
        <v>103184408</v>
      </c>
    </row>
    <row r="93" spans="1:13" ht="13.5">
      <c r="A93" s="901" t="str">
        <f>'Org structure'!E87</f>
        <v>8.8 - Sewerage Purification</v>
      </c>
      <c r="B93" s="898"/>
      <c r="C93" s="763"/>
      <c r="D93" s="762"/>
      <c r="E93" s="762"/>
      <c r="F93" s="762"/>
      <c r="G93" s="762"/>
      <c r="H93" s="762"/>
      <c r="I93" s="762"/>
      <c r="J93" s="75">
        <f t="shared" si="8"/>
        <v>0</v>
      </c>
      <c r="K93" s="75">
        <f t="shared" si="9"/>
        <v>0</v>
      </c>
      <c r="L93" s="762"/>
      <c r="M93" s="764"/>
    </row>
    <row r="94" spans="1:13" ht="13.5">
      <c r="A94" s="901">
        <f>'Org structure'!E88</f>
        <v>0</v>
      </c>
      <c r="B94" s="898"/>
      <c r="C94" s="763"/>
      <c r="D94" s="762"/>
      <c r="E94" s="762"/>
      <c r="F94" s="762"/>
      <c r="G94" s="762"/>
      <c r="H94" s="762"/>
      <c r="I94" s="762"/>
      <c r="J94" s="75">
        <f t="shared" si="8"/>
        <v>0</v>
      </c>
      <c r="K94" s="75">
        <f t="shared" si="9"/>
        <v>0</v>
      </c>
      <c r="L94" s="762"/>
      <c r="M94" s="764"/>
    </row>
    <row r="95" spans="1:13" ht="13.5">
      <c r="A95" s="901">
        <f>'Org structure'!E89</f>
        <v>0</v>
      </c>
      <c r="B95" s="898"/>
      <c r="C95" s="763"/>
      <c r="D95" s="762"/>
      <c r="E95" s="762"/>
      <c r="F95" s="762"/>
      <c r="G95" s="762"/>
      <c r="H95" s="762"/>
      <c r="I95" s="762"/>
      <c r="J95" s="75">
        <f t="shared" si="8"/>
        <v>0</v>
      </c>
      <c r="K95" s="75">
        <f t="shared" si="9"/>
        <v>0</v>
      </c>
      <c r="L95" s="762"/>
      <c r="M95" s="764"/>
    </row>
    <row r="96" spans="1:13" ht="13.5">
      <c r="A96" s="899" t="str">
        <f>'Org structure'!A10</f>
        <v>Vote 9 - [NAME OF VOTE 9]</v>
      </c>
      <c r="B96" s="898"/>
      <c r="C96" s="761">
        <f>SUM(C97:C106)</f>
        <v>0</v>
      </c>
      <c r="D96" s="760">
        <f t="shared" ref="D96:I96" si="12">SUM(D97:D106)</f>
        <v>0</v>
      </c>
      <c r="E96" s="760">
        <f t="shared" si="12"/>
        <v>0</v>
      </c>
      <c r="F96" s="760">
        <f t="shared" si="12"/>
        <v>0</v>
      </c>
      <c r="G96" s="760">
        <f t="shared" si="12"/>
        <v>0</v>
      </c>
      <c r="H96" s="760">
        <f t="shared" si="12"/>
        <v>0</v>
      </c>
      <c r="I96" s="760">
        <f t="shared" si="12"/>
        <v>0</v>
      </c>
      <c r="J96" s="75">
        <f t="shared" si="8"/>
        <v>0</v>
      </c>
      <c r="K96" s="75">
        <f t="shared" si="9"/>
        <v>0</v>
      </c>
      <c r="L96" s="760">
        <f>SUM(L97:L106)</f>
        <v>0</v>
      </c>
      <c r="M96" s="788">
        <f>SUM(M97:M106)</f>
        <v>0</v>
      </c>
    </row>
    <row r="97" spans="1:13" ht="13.5">
      <c r="A97" s="901" t="str">
        <f>'Org structure'!E91</f>
        <v>9.1 - [Name of sub-vote]</v>
      </c>
      <c r="B97" s="898"/>
      <c r="C97" s="763"/>
      <c r="D97" s="762"/>
      <c r="E97" s="762"/>
      <c r="F97" s="762"/>
      <c r="G97" s="762"/>
      <c r="H97" s="762"/>
      <c r="I97" s="762"/>
      <c r="J97" s="75">
        <f t="shared" si="8"/>
        <v>0</v>
      </c>
      <c r="K97" s="75">
        <f t="shared" si="9"/>
        <v>0</v>
      </c>
      <c r="L97" s="762"/>
      <c r="M97" s="764"/>
    </row>
    <row r="98" spans="1:13" ht="13.5">
      <c r="A98" s="901">
        <f>'Org structure'!E92</f>
        <v>0</v>
      </c>
      <c r="B98" s="898"/>
      <c r="C98" s="763"/>
      <c r="D98" s="762"/>
      <c r="E98" s="762"/>
      <c r="F98" s="762"/>
      <c r="G98" s="762"/>
      <c r="H98" s="762"/>
      <c r="I98" s="762"/>
      <c r="J98" s="75">
        <f t="shared" si="8"/>
        <v>0</v>
      </c>
      <c r="K98" s="75">
        <f t="shared" si="9"/>
        <v>0</v>
      </c>
      <c r="L98" s="762"/>
      <c r="M98" s="764"/>
    </row>
    <row r="99" spans="1:13" ht="13.5">
      <c r="A99" s="901">
        <f>'Org structure'!E93</f>
        <v>0</v>
      </c>
      <c r="B99" s="898"/>
      <c r="C99" s="763"/>
      <c r="D99" s="762"/>
      <c r="E99" s="762"/>
      <c r="F99" s="762"/>
      <c r="G99" s="762"/>
      <c r="H99" s="762"/>
      <c r="I99" s="762"/>
      <c r="J99" s="75">
        <f t="shared" si="8"/>
        <v>0</v>
      </c>
      <c r="K99" s="75">
        <f t="shared" si="9"/>
        <v>0</v>
      </c>
      <c r="L99" s="762"/>
      <c r="M99" s="764"/>
    </row>
    <row r="100" spans="1:13" ht="13.5">
      <c r="A100" s="901">
        <f>'Org structure'!E94</f>
        <v>0</v>
      </c>
      <c r="B100" s="898"/>
      <c r="C100" s="763"/>
      <c r="D100" s="762"/>
      <c r="E100" s="762"/>
      <c r="F100" s="762"/>
      <c r="G100" s="762"/>
      <c r="H100" s="762"/>
      <c r="I100" s="762"/>
      <c r="J100" s="75">
        <f t="shared" si="8"/>
        <v>0</v>
      </c>
      <c r="K100" s="75">
        <f t="shared" si="9"/>
        <v>0</v>
      </c>
      <c r="L100" s="762"/>
      <c r="M100" s="764"/>
    </row>
    <row r="101" spans="1:13" ht="13.5">
      <c r="A101" s="901">
        <f>'Org structure'!E95</f>
        <v>0</v>
      </c>
      <c r="B101" s="898"/>
      <c r="C101" s="763"/>
      <c r="D101" s="762"/>
      <c r="E101" s="762"/>
      <c r="F101" s="762"/>
      <c r="G101" s="762"/>
      <c r="H101" s="762"/>
      <c r="I101" s="762"/>
      <c r="J101" s="75">
        <f t="shared" si="8"/>
        <v>0</v>
      </c>
      <c r="K101" s="75">
        <f t="shared" si="9"/>
        <v>0</v>
      </c>
      <c r="L101" s="762"/>
      <c r="M101" s="764"/>
    </row>
    <row r="102" spans="1:13" ht="13.5">
      <c r="A102" s="901">
        <f>'Org structure'!E96</f>
        <v>0</v>
      </c>
      <c r="B102" s="898"/>
      <c r="C102" s="763"/>
      <c r="D102" s="762"/>
      <c r="E102" s="762"/>
      <c r="F102" s="762"/>
      <c r="G102" s="762"/>
      <c r="H102" s="762"/>
      <c r="I102" s="762"/>
      <c r="J102" s="75">
        <f t="shared" si="8"/>
        <v>0</v>
      </c>
      <c r="K102" s="75">
        <f t="shared" si="9"/>
        <v>0</v>
      </c>
      <c r="L102" s="762"/>
      <c r="M102" s="764"/>
    </row>
    <row r="103" spans="1:13" ht="13.5">
      <c r="A103" s="901">
        <f>'Org structure'!E97</f>
        <v>0</v>
      </c>
      <c r="B103" s="898"/>
      <c r="C103" s="763"/>
      <c r="D103" s="762"/>
      <c r="E103" s="762"/>
      <c r="F103" s="762"/>
      <c r="G103" s="762"/>
      <c r="H103" s="762"/>
      <c r="I103" s="762"/>
      <c r="J103" s="75">
        <f t="shared" si="8"/>
        <v>0</v>
      </c>
      <c r="K103" s="75">
        <f t="shared" si="9"/>
        <v>0</v>
      </c>
      <c r="L103" s="762"/>
      <c r="M103" s="764"/>
    </row>
    <row r="104" spans="1:13" ht="13.5">
      <c r="A104" s="901">
        <f>'Org structure'!E98</f>
        <v>0</v>
      </c>
      <c r="B104" s="898"/>
      <c r="C104" s="763"/>
      <c r="D104" s="762"/>
      <c r="E104" s="762"/>
      <c r="F104" s="762"/>
      <c r="G104" s="762"/>
      <c r="H104" s="762"/>
      <c r="I104" s="762"/>
      <c r="J104" s="75">
        <f t="shared" si="8"/>
        <v>0</v>
      </c>
      <c r="K104" s="75">
        <f t="shared" si="9"/>
        <v>0</v>
      </c>
      <c r="L104" s="762"/>
      <c r="M104" s="764"/>
    </row>
    <row r="105" spans="1:13" ht="13.5">
      <c r="A105" s="901">
        <f>'Org structure'!E99</f>
        <v>0</v>
      </c>
      <c r="B105" s="898"/>
      <c r="C105" s="763"/>
      <c r="D105" s="762"/>
      <c r="E105" s="762"/>
      <c r="F105" s="762"/>
      <c r="G105" s="762"/>
      <c r="H105" s="762"/>
      <c r="I105" s="762"/>
      <c r="J105" s="75">
        <f t="shared" si="8"/>
        <v>0</v>
      </c>
      <c r="K105" s="75">
        <f t="shared" si="9"/>
        <v>0</v>
      </c>
      <c r="L105" s="762"/>
      <c r="M105" s="764"/>
    </row>
    <row r="106" spans="1:13" ht="13.5">
      <c r="A106" s="901">
        <f>'Org structure'!E100</f>
        <v>0</v>
      </c>
      <c r="B106" s="898"/>
      <c r="C106" s="763"/>
      <c r="D106" s="762"/>
      <c r="E106" s="762"/>
      <c r="F106" s="762"/>
      <c r="G106" s="762"/>
      <c r="H106" s="762"/>
      <c r="I106" s="762"/>
      <c r="J106" s="75">
        <f t="shared" si="8"/>
        <v>0</v>
      </c>
      <c r="K106" s="75">
        <f t="shared" si="9"/>
        <v>0</v>
      </c>
      <c r="L106" s="762"/>
      <c r="M106" s="764"/>
    </row>
    <row r="107" spans="1:13" ht="13.5">
      <c r="A107" s="899" t="str">
        <f>'Org structure'!A11</f>
        <v>Vote 10 - [NAME OF VOTE 10]</v>
      </c>
      <c r="B107" s="898"/>
      <c r="C107" s="761">
        <f>SUM(C108:C117)</f>
        <v>0</v>
      </c>
      <c r="D107" s="760">
        <f t="shared" ref="D107:I107" si="13">SUM(D108:D117)</f>
        <v>0</v>
      </c>
      <c r="E107" s="760">
        <f t="shared" si="13"/>
        <v>0</v>
      </c>
      <c r="F107" s="760">
        <f t="shared" si="13"/>
        <v>0</v>
      </c>
      <c r="G107" s="760">
        <f t="shared" si="13"/>
        <v>0</v>
      </c>
      <c r="H107" s="760">
        <f t="shared" si="13"/>
        <v>0</v>
      </c>
      <c r="I107" s="760">
        <f t="shared" si="13"/>
        <v>0</v>
      </c>
      <c r="J107" s="75">
        <f t="shared" si="8"/>
        <v>0</v>
      </c>
      <c r="K107" s="75">
        <f t="shared" si="9"/>
        <v>0</v>
      </c>
      <c r="L107" s="760">
        <f>SUM(L108:L117)</f>
        <v>0</v>
      </c>
      <c r="M107" s="788">
        <f>SUM(M108:M117)</f>
        <v>0</v>
      </c>
    </row>
    <row r="108" spans="1:13" ht="13.5">
      <c r="A108" s="901" t="str">
        <f>'Org structure'!E102</f>
        <v>10.1 - [Name of sub-vote]</v>
      </c>
      <c r="B108" s="898"/>
      <c r="C108" s="763"/>
      <c r="D108" s="762"/>
      <c r="E108" s="762"/>
      <c r="F108" s="762"/>
      <c r="G108" s="762"/>
      <c r="H108" s="762"/>
      <c r="I108" s="762"/>
      <c r="J108" s="75">
        <f t="shared" si="8"/>
        <v>0</v>
      </c>
      <c r="K108" s="75">
        <f t="shared" si="9"/>
        <v>0</v>
      </c>
      <c r="L108" s="762"/>
      <c r="M108" s="764"/>
    </row>
    <row r="109" spans="1:13" ht="13.5">
      <c r="A109" s="901">
        <f>'Org structure'!E103</f>
        <v>0</v>
      </c>
      <c r="B109" s="898"/>
      <c r="C109" s="763"/>
      <c r="D109" s="762"/>
      <c r="E109" s="762"/>
      <c r="F109" s="762"/>
      <c r="G109" s="762"/>
      <c r="H109" s="762"/>
      <c r="I109" s="762"/>
      <c r="J109" s="75">
        <f t="shared" si="8"/>
        <v>0</v>
      </c>
      <c r="K109" s="75">
        <f t="shared" si="9"/>
        <v>0</v>
      </c>
      <c r="L109" s="762"/>
      <c r="M109" s="764"/>
    </row>
    <row r="110" spans="1:13" ht="13.5">
      <c r="A110" s="901">
        <f>'Org structure'!E104</f>
        <v>0</v>
      </c>
      <c r="B110" s="898"/>
      <c r="C110" s="763"/>
      <c r="D110" s="762"/>
      <c r="E110" s="762"/>
      <c r="F110" s="762"/>
      <c r="G110" s="762"/>
      <c r="H110" s="762"/>
      <c r="I110" s="762"/>
      <c r="J110" s="75">
        <f t="shared" si="8"/>
        <v>0</v>
      </c>
      <c r="K110" s="75">
        <f t="shared" si="9"/>
        <v>0</v>
      </c>
      <c r="L110" s="762"/>
      <c r="M110" s="764"/>
    </row>
    <row r="111" spans="1:13" ht="13.5">
      <c r="A111" s="901">
        <f>'Org structure'!E105</f>
        <v>0</v>
      </c>
      <c r="B111" s="898"/>
      <c r="C111" s="763"/>
      <c r="D111" s="762"/>
      <c r="E111" s="762"/>
      <c r="F111" s="762"/>
      <c r="G111" s="762"/>
      <c r="H111" s="762"/>
      <c r="I111" s="762"/>
      <c r="J111" s="75">
        <f t="shared" si="8"/>
        <v>0</v>
      </c>
      <c r="K111" s="75">
        <f t="shared" si="9"/>
        <v>0</v>
      </c>
      <c r="L111" s="762"/>
      <c r="M111" s="764"/>
    </row>
    <row r="112" spans="1:13" ht="13.5">
      <c r="A112" s="901">
        <f>'Org structure'!E106</f>
        <v>0</v>
      </c>
      <c r="B112" s="898"/>
      <c r="C112" s="763"/>
      <c r="D112" s="762"/>
      <c r="E112" s="762"/>
      <c r="F112" s="762"/>
      <c r="G112" s="762"/>
      <c r="H112" s="762"/>
      <c r="I112" s="762"/>
      <c r="J112" s="75">
        <f t="shared" si="8"/>
        <v>0</v>
      </c>
      <c r="K112" s="75">
        <f t="shared" si="9"/>
        <v>0</v>
      </c>
      <c r="L112" s="762"/>
      <c r="M112" s="764"/>
    </row>
    <row r="113" spans="1:13" ht="13.5">
      <c r="A113" s="901">
        <f>'Org structure'!E107</f>
        <v>0</v>
      </c>
      <c r="B113" s="898"/>
      <c r="C113" s="763"/>
      <c r="D113" s="762"/>
      <c r="E113" s="762"/>
      <c r="F113" s="762"/>
      <c r="G113" s="762"/>
      <c r="H113" s="762"/>
      <c r="I113" s="762"/>
      <c r="J113" s="75">
        <f t="shared" si="8"/>
        <v>0</v>
      </c>
      <c r="K113" s="75">
        <f t="shared" si="9"/>
        <v>0</v>
      </c>
      <c r="L113" s="762"/>
      <c r="M113" s="764"/>
    </row>
    <row r="114" spans="1:13" ht="13.5">
      <c r="A114" s="901">
        <f>'Org structure'!E108</f>
        <v>0</v>
      </c>
      <c r="B114" s="898"/>
      <c r="C114" s="763"/>
      <c r="D114" s="762"/>
      <c r="E114" s="762"/>
      <c r="F114" s="762"/>
      <c r="G114" s="762"/>
      <c r="H114" s="762"/>
      <c r="I114" s="762"/>
      <c r="J114" s="75">
        <f t="shared" si="8"/>
        <v>0</v>
      </c>
      <c r="K114" s="75">
        <f t="shared" si="9"/>
        <v>0</v>
      </c>
      <c r="L114" s="762"/>
      <c r="M114" s="764"/>
    </row>
    <row r="115" spans="1:13" ht="13.5">
      <c r="A115" s="901">
        <f>'Org structure'!E109</f>
        <v>0</v>
      </c>
      <c r="B115" s="898"/>
      <c r="C115" s="763"/>
      <c r="D115" s="762"/>
      <c r="E115" s="762"/>
      <c r="F115" s="762"/>
      <c r="G115" s="762"/>
      <c r="H115" s="762"/>
      <c r="I115" s="762"/>
      <c r="J115" s="75">
        <f t="shared" si="8"/>
        <v>0</v>
      </c>
      <c r="K115" s="75">
        <f t="shared" si="9"/>
        <v>0</v>
      </c>
      <c r="L115" s="762"/>
      <c r="M115" s="764"/>
    </row>
    <row r="116" spans="1:13" ht="13.5">
      <c r="A116" s="901">
        <f>'Org structure'!E110</f>
        <v>0</v>
      </c>
      <c r="B116" s="898"/>
      <c r="C116" s="763"/>
      <c r="D116" s="762"/>
      <c r="E116" s="762"/>
      <c r="F116" s="762"/>
      <c r="G116" s="762"/>
      <c r="H116" s="762"/>
      <c r="I116" s="762"/>
      <c r="J116" s="75">
        <f t="shared" si="8"/>
        <v>0</v>
      </c>
      <c r="K116" s="75">
        <f t="shared" si="9"/>
        <v>0</v>
      </c>
      <c r="L116" s="762"/>
      <c r="M116" s="764"/>
    </row>
    <row r="117" spans="1:13" ht="13.5">
      <c r="A117" s="901">
        <f>'Org structure'!E111</f>
        <v>0</v>
      </c>
      <c r="B117" s="898"/>
      <c r="C117" s="763"/>
      <c r="D117" s="762"/>
      <c r="E117" s="762"/>
      <c r="F117" s="762"/>
      <c r="G117" s="762"/>
      <c r="H117" s="762"/>
      <c r="I117" s="762"/>
      <c r="J117" s="75">
        <f t="shared" si="8"/>
        <v>0</v>
      </c>
      <c r="K117" s="75">
        <f t="shared" si="9"/>
        <v>0</v>
      </c>
      <c r="L117" s="762"/>
      <c r="M117" s="764"/>
    </row>
    <row r="118" spans="1:13" ht="13.5">
      <c r="A118" s="899" t="str">
        <f>'Org structure'!A12</f>
        <v>Vote 11 - [NAME OF VOTE 11]</v>
      </c>
      <c r="B118" s="898"/>
      <c r="C118" s="761">
        <f>SUM(C119:C128)</f>
        <v>0</v>
      </c>
      <c r="D118" s="760">
        <f t="shared" ref="D118:I118" si="14">SUM(D119:D128)</f>
        <v>0</v>
      </c>
      <c r="E118" s="760">
        <f t="shared" si="14"/>
        <v>0</v>
      </c>
      <c r="F118" s="760">
        <f t="shared" si="14"/>
        <v>0</v>
      </c>
      <c r="G118" s="760">
        <f t="shared" si="14"/>
        <v>0</v>
      </c>
      <c r="H118" s="760">
        <f t="shared" si="14"/>
        <v>0</v>
      </c>
      <c r="I118" s="760">
        <f t="shared" si="14"/>
        <v>0</v>
      </c>
      <c r="J118" s="75">
        <f t="shared" si="8"/>
        <v>0</v>
      </c>
      <c r="K118" s="75">
        <f t="shared" si="9"/>
        <v>0</v>
      </c>
      <c r="L118" s="760">
        <f>SUM(L119:L128)</f>
        <v>0</v>
      </c>
      <c r="M118" s="788">
        <f>SUM(M119:M128)</f>
        <v>0</v>
      </c>
    </row>
    <row r="119" spans="1:13" ht="13.5">
      <c r="A119" s="901" t="str">
        <f>'Org structure'!E113</f>
        <v>11.1 - [Name of sub-vote]</v>
      </c>
      <c r="B119" s="898"/>
      <c r="C119" s="763"/>
      <c r="D119" s="762"/>
      <c r="E119" s="762"/>
      <c r="F119" s="762"/>
      <c r="G119" s="762"/>
      <c r="H119" s="762"/>
      <c r="I119" s="762"/>
      <c r="J119" s="75">
        <f t="shared" si="8"/>
        <v>0</v>
      </c>
      <c r="K119" s="75">
        <f t="shared" si="9"/>
        <v>0</v>
      </c>
      <c r="L119" s="762"/>
      <c r="M119" s="764"/>
    </row>
    <row r="120" spans="1:13" ht="13.5">
      <c r="A120" s="901">
        <f>'Org structure'!E114</f>
        <v>0</v>
      </c>
      <c r="B120" s="898"/>
      <c r="C120" s="763"/>
      <c r="D120" s="762"/>
      <c r="E120" s="762"/>
      <c r="F120" s="762"/>
      <c r="G120" s="762"/>
      <c r="H120" s="762"/>
      <c r="I120" s="762"/>
      <c r="J120" s="75">
        <f t="shared" si="8"/>
        <v>0</v>
      </c>
      <c r="K120" s="75">
        <f t="shared" si="9"/>
        <v>0</v>
      </c>
      <c r="L120" s="762"/>
      <c r="M120" s="764"/>
    </row>
    <row r="121" spans="1:13" ht="13.5">
      <c r="A121" s="901">
        <f>'Org structure'!E115</f>
        <v>0</v>
      </c>
      <c r="B121" s="898"/>
      <c r="C121" s="763"/>
      <c r="D121" s="762"/>
      <c r="E121" s="762"/>
      <c r="F121" s="762"/>
      <c r="G121" s="762"/>
      <c r="H121" s="762"/>
      <c r="I121" s="762"/>
      <c r="J121" s="75">
        <f t="shared" si="8"/>
        <v>0</v>
      </c>
      <c r="K121" s="75">
        <f t="shared" si="9"/>
        <v>0</v>
      </c>
      <c r="L121" s="762"/>
      <c r="M121" s="764"/>
    </row>
    <row r="122" spans="1:13" ht="13.5">
      <c r="A122" s="901">
        <f>'Org structure'!E116</f>
        <v>0</v>
      </c>
      <c r="B122" s="898"/>
      <c r="C122" s="763"/>
      <c r="D122" s="762"/>
      <c r="E122" s="762"/>
      <c r="F122" s="762"/>
      <c r="G122" s="762"/>
      <c r="H122" s="762"/>
      <c r="I122" s="762"/>
      <c r="J122" s="75">
        <f t="shared" si="8"/>
        <v>0</v>
      </c>
      <c r="K122" s="75">
        <f t="shared" si="9"/>
        <v>0</v>
      </c>
      <c r="L122" s="762"/>
      <c r="M122" s="764"/>
    </row>
    <row r="123" spans="1:13" ht="13.5">
      <c r="A123" s="901">
        <f>'Org structure'!E117</f>
        <v>0</v>
      </c>
      <c r="B123" s="898"/>
      <c r="C123" s="763"/>
      <c r="D123" s="762"/>
      <c r="E123" s="762"/>
      <c r="F123" s="762"/>
      <c r="G123" s="762"/>
      <c r="H123" s="762"/>
      <c r="I123" s="762"/>
      <c r="J123" s="75">
        <f t="shared" si="8"/>
        <v>0</v>
      </c>
      <c r="K123" s="75">
        <f t="shared" si="9"/>
        <v>0</v>
      </c>
      <c r="L123" s="762"/>
      <c r="M123" s="764"/>
    </row>
    <row r="124" spans="1:13" ht="13.5">
      <c r="A124" s="901">
        <f>'Org structure'!E118</f>
        <v>0</v>
      </c>
      <c r="B124" s="898"/>
      <c r="C124" s="763"/>
      <c r="D124" s="762"/>
      <c r="E124" s="762"/>
      <c r="F124" s="762"/>
      <c r="G124" s="762"/>
      <c r="H124" s="762"/>
      <c r="I124" s="762"/>
      <c r="J124" s="75">
        <f t="shared" si="8"/>
        <v>0</v>
      </c>
      <c r="K124" s="75">
        <f t="shared" si="9"/>
        <v>0</v>
      </c>
      <c r="L124" s="762"/>
      <c r="M124" s="764"/>
    </row>
    <row r="125" spans="1:13" ht="13.5">
      <c r="A125" s="901">
        <f>'Org structure'!E119</f>
        <v>0</v>
      </c>
      <c r="B125" s="898"/>
      <c r="C125" s="763"/>
      <c r="D125" s="762"/>
      <c r="E125" s="762"/>
      <c r="F125" s="762"/>
      <c r="G125" s="762"/>
      <c r="H125" s="762"/>
      <c r="I125" s="762"/>
      <c r="J125" s="75">
        <f t="shared" si="8"/>
        <v>0</v>
      </c>
      <c r="K125" s="75">
        <f t="shared" si="9"/>
        <v>0</v>
      </c>
      <c r="L125" s="762"/>
      <c r="M125" s="764"/>
    </row>
    <row r="126" spans="1:13" ht="13.5">
      <c r="A126" s="901">
        <f>'Org structure'!E120</f>
        <v>0</v>
      </c>
      <c r="B126" s="898"/>
      <c r="C126" s="763"/>
      <c r="D126" s="762"/>
      <c r="E126" s="762"/>
      <c r="F126" s="762"/>
      <c r="G126" s="762"/>
      <c r="H126" s="762"/>
      <c r="I126" s="762"/>
      <c r="J126" s="75">
        <f t="shared" si="8"/>
        <v>0</v>
      </c>
      <c r="K126" s="75">
        <f t="shared" si="9"/>
        <v>0</v>
      </c>
      <c r="L126" s="762"/>
      <c r="M126" s="764"/>
    </row>
    <row r="127" spans="1:13" ht="13.5">
      <c r="A127" s="901">
        <f>'Org structure'!E121</f>
        <v>0</v>
      </c>
      <c r="B127" s="898"/>
      <c r="C127" s="763"/>
      <c r="D127" s="762"/>
      <c r="E127" s="762"/>
      <c r="F127" s="762"/>
      <c r="G127" s="762"/>
      <c r="H127" s="762"/>
      <c r="I127" s="762"/>
      <c r="J127" s="75">
        <f t="shared" si="8"/>
        <v>0</v>
      </c>
      <c r="K127" s="75">
        <f t="shared" si="9"/>
        <v>0</v>
      </c>
      <c r="L127" s="762"/>
      <c r="M127" s="764"/>
    </row>
    <row r="128" spans="1:13" ht="13.5">
      <c r="A128" s="901">
        <f>'Org structure'!E122</f>
        <v>0</v>
      </c>
      <c r="B128" s="898"/>
      <c r="C128" s="763"/>
      <c r="D128" s="762"/>
      <c r="E128" s="762"/>
      <c r="F128" s="762"/>
      <c r="G128" s="762"/>
      <c r="H128" s="762"/>
      <c r="I128" s="762"/>
      <c r="J128" s="75">
        <f t="shared" si="8"/>
        <v>0</v>
      </c>
      <c r="K128" s="75">
        <f t="shared" si="9"/>
        <v>0</v>
      </c>
      <c r="L128" s="762"/>
      <c r="M128" s="764"/>
    </row>
    <row r="129" spans="1:13" ht="13.5">
      <c r="A129" s="899" t="str">
        <f>'Org structure'!A13</f>
        <v>Vote 12 - [NAME OF VOTE 12]</v>
      </c>
      <c r="B129" s="898"/>
      <c r="C129" s="761">
        <f>SUM(C130:C139)</f>
        <v>0</v>
      </c>
      <c r="D129" s="760">
        <f t="shared" ref="D129:I129" si="15">SUM(D130:D139)</f>
        <v>0</v>
      </c>
      <c r="E129" s="760">
        <f t="shared" si="15"/>
        <v>0</v>
      </c>
      <c r="F129" s="760">
        <f t="shared" si="15"/>
        <v>0</v>
      </c>
      <c r="G129" s="760">
        <f t="shared" si="15"/>
        <v>0</v>
      </c>
      <c r="H129" s="760">
        <f t="shared" si="15"/>
        <v>0</v>
      </c>
      <c r="I129" s="760">
        <f t="shared" si="15"/>
        <v>0</v>
      </c>
      <c r="J129" s="75">
        <f t="shared" si="8"/>
        <v>0</v>
      </c>
      <c r="K129" s="75">
        <f t="shared" si="9"/>
        <v>0</v>
      </c>
      <c r="L129" s="760">
        <f>SUM(L130:L139)</f>
        <v>0</v>
      </c>
      <c r="M129" s="788">
        <f>SUM(M130:M139)</f>
        <v>0</v>
      </c>
    </row>
    <row r="130" spans="1:13" ht="13.5">
      <c r="A130" s="901" t="str">
        <f>'Org structure'!E124</f>
        <v>12.1 - [Name of sub-vote]</v>
      </c>
      <c r="B130" s="898"/>
      <c r="C130" s="763"/>
      <c r="D130" s="762"/>
      <c r="E130" s="762"/>
      <c r="F130" s="762"/>
      <c r="G130" s="762"/>
      <c r="H130" s="762"/>
      <c r="I130" s="762"/>
      <c r="J130" s="75">
        <f t="shared" si="8"/>
        <v>0</v>
      </c>
      <c r="K130" s="75">
        <f t="shared" si="9"/>
        <v>0</v>
      </c>
      <c r="L130" s="762"/>
      <c r="M130" s="764"/>
    </row>
    <row r="131" spans="1:13" ht="13.5">
      <c r="A131" s="901">
        <f>'Org structure'!E125</f>
        <v>0</v>
      </c>
      <c r="B131" s="898"/>
      <c r="C131" s="763"/>
      <c r="D131" s="762"/>
      <c r="E131" s="762"/>
      <c r="F131" s="762"/>
      <c r="G131" s="762"/>
      <c r="H131" s="762"/>
      <c r="I131" s="762"/>
      <c r="J131" s="75">
        <f t="shared" si="8"/>
        <v>0</v>
      </c>
      <c r="K131" s="75">
        <f t="shared" si="9"/>
        <v>0</v>
      </c>
      <c r="L131" s="762"/>
      <c r="M131" s="764"/>
    </row>
    <row r="132" spans="1:13" ht="13.5">
      <c r="A132" s="901">
        <f>'Org structure'!E126</f>
        <v>0</v>
      </c>
      <c r="B132" s="898"/>
      <c r="C132" s="763"/>
      <c r="D132" s="762"/>
      <c r="E132" s="762"/>
      <c r="F132" s="762"/>
      <c r="G132" s="762"/>
      <c r="H132" s="762"/>
      <c r="I132" s="762"/>
      <c r="J132" s="75">
        <f t="shared" si="8"/>
        <v>0</v>
      </c>
      <c r="K132" s="75">
        <f t="shared" si="9"/>
        <v>0</v>
      </c>
      <c r="L132" s="762"/>
      <c r="M132" s="764"/>
    </row>
    <row r="133" spans="1:13" ht="13.5">
      <c r="A133" s="901">
        <f>'Org structure'!E127</f>
        <v>0</v>
      </c>
      <c r="B133" s="898"/>
      <c r="C133" s="763"/>
      <c r="D133" s="762"/>
      <c r="E133" s="762"/>
      <c r="F133" s="762"/>
      <c r="G133" s="762"/>
      <c r="H133" s="762"/>
      <c r="I133" s="762"/>
      <c r="J133" s="75">
        <f t="shared" si="8"/>
        <v>0</v>
      </c>
      <c r="K133" s="75">
        <f t="shared" si="9"/>
        <v>0</v>
      </c>
      <c r="L133" s="762"/>
      <c r="M133" s="764"/>
    </row>
    <row r="134" spans="1:13" ht="13.5">
      <c r="A134" s="901">
        <f>'Org structure'!E128</f>
        <v>0</v>
      </c>
      <c r="B134" s="898"/>
      <c r="C134" s="763"/>
      <c r="D134" s="762"/>
      <c r="E134" s="762"/>
      <c r="F134" s="762"/>
      <c r="G134" s="762"/>
      <c r="H134" s="762"/>
      <c r="I134" s="762"/>
      <c r="J134" s="75">
        <f t="shared" si="8"/>
        <v>0</v>
      </c>
      <c r="K134" s="75">
        <f t="shared" si="9"/>
        <v>0</v>
      </c>
      <c r="L134" s="762"/>
      <c r="M134" s="764"/>
    </row>
    <row r="135" spans="1:13" ht="13.5">
      <c r="A135" s="901">
        <f>'Org structure'!E129</f>
        <v>0</v>
      </c>
      <c r="B135" s="898"/>
      <c r="C135" s="763"/>
      <c r="D135" s="762"/>
      <c r="E135" s="762"/>
      <c r="F135" s="762"/>
      <c r="G135" s="762"/>
      <c r="H135" s="762"/>
      <c r="I135" s="762"/>
      <c r="J135" s="75">
        <f t="shared" si="8"/>
        <v>0</v>
      </c>
      <c r="K135" s="75">
        <f t="shared" si="9"/>
        <v>0</v>
      </c>
      <c r="L135" s="762"/>
      <c r="M135" s="764"/>
    </row>
    <row r="136" spans="1:13" ht="13.5">
      <c r="A136" s="901">
        <f>'Org structure'!E130</f>
        <v>0</v>
      </c>
      <c r="B136" s="898"/>
      <c r="C136" s="763"/>
      <c r="D136" s="762"/>
      <c r="E136" s="762"/>
      <c r="F136" s="762"/>
      <c r="G136" s="762"/>
      <c r="H136" s="762"/>
      <c r="I136" s="762"/>
      <c r="J136" s="75">
        <f t="shared" ref="J136:J173" si="16">SUM(E136:I136)</f>
        <v>0</v>
      </c>
      <c r="K136" s="75">
        <f t="shared" ref="K136:K173" si="17">IF(D136=0,C136+J136,D136+J136)</f>
        <v>0</v>
      </c>
      <c r="L136" s="762"/>
      <c r="M136" s="764"/>
    </row>
    <row r="137" spans="1:13" ht="13.5">
      <c r="A137" s="901">
        <f>'Org structure'!E131</f>
        <v>0</v>
      </c>
      <c r="B137" s="898"/>
      <c r="C137" s="763"/>
      <c r="D137" s="762"/>
      <c r="E137" s="762"/>
      <c r="F137" s="762"/>
      <c r="G137" s="762"/>
      <c r="H137" s="762"/>
      <c r="I137" s="762"/>
      <c r="J137" s="75">
        <f t="shared" si="16"/>
        <v>0</v>
      </c>
      <c r="K137" s="75">
        <f t="shared" si="17"/>
        <v>0</v>
      </c>
      <c r="L137" s="762"/>
      <c r="M137" s="764"/>
    </row>
    <row r="138" spans="1:13" ht="13.5">
      <c r="A138" s="901">
        <f>'Org structure'!E132</f>
        <v>0</v>
      </c>
      <c r="B138" s="898"/>
      <c r="C138" s="763"/>
      <c r="D138" s="762"/>
      <c r="E138" s="762"/>
      <c r="F138" s="762"/>
      <c r="G138" s="762"/>
      <c r="H138" s="762"/>
      <c r="I138" s="762"/>
      <c r="J138" s="75">
        <f t="shared" si="16"/>
        <v>0</v>
      </c>
      <c r="K138" s="75">
        <f t="shared" si="17"/>
        <v>0</v>
      </c>
      <c r="L138" s="762"/>
      <c r="M138" s="764"/>
    </row>
    <row r="139" spans="1:13" ht="13.5">
      <c r="A139" s="901">
        <f>'Org structure'!E133</f>
        <v>0</v>
      </c>
      <c r="B139" s="898"/>
      <c r="C139" s="763"/>
      <c r="D139" s="762"/>
      <c r="E139" s="762"/>
      <c r="F139" s="762"/>
      <c r="G139" s="762"/>
      <c r="H139" s="762"/>
      <c r="I139" s="762"/>
      <c r="J139" s="75">
        <f t="shared" si="16"/>
        <v>0</v>
      </c>
      <c r="K139" s="75">
        <f t="shared" si="17"/>
        <v>0</v>
      </c>
      <c r="L139" s="762"/>
      <c r="M139" s="764"/>
    </row>
    <row r="140" spans="1:13" ht="13.5">
      <c r="A140" s="899" t="str">
        <f>'Org structure'!A14</f>
        <v>Vote 13 - [NAME OF VOTE 13]</v>
      </c>
      <c r="B140" s="898"/>
      <c r="C140" s="761">
        <f>SUM(C141:C150)</f>
        <v>0</v>
      </c>
      <c r="D140" s="760">
        <f t="shared" ref="D140:I140" si="18">SUM(D141:D150)</f>
        <v>0</v>
      </c>
      <c r="E140" s="760">
        <f t="shared" si="18"/>
        <v>0</v>
      </c>
      <c r="F140" s="760">
        <f t="shared" si="18"/>
        <v>0</v>
      </c>
      <c r="G140" s="760">
        <f t="shared" si="18"/>
        <v>0</v>
      </c>
      <c r="H140" s="760">
        <f t="shared" si="18"/>
        <v>0</v>
      </c>
      <c r="I140" s="760">
        <f t="shared" si="18"/>
        <v>0</v>
      </c>
      <c r="J140" s="75">
        <f t="shared" si="16"/>
        <v>0</v>
      </c>
      <c r="K140" s="75">
        <f t="shared" si="17"/>
        <v>0</v>
      </c>
      <c r="L140" s="760">
        <f>SUM(L141:L150)</f>
        <v>0</v>
      </c>
      <c r="M140" s="788">
        <f>SUM(M141:M150)</f>
        <v>0</v>
      </c>
    </row>
    <row r="141" spans="1:13" ht="13.5">
      <c r="A141" s="901" t="str">
        <f>'Org structure'!E135</f>
        <v>13.1 - [Name of sub-vote]</v>
      </c>
      <c r="B141" s="898"/>
      <c r="C141" s="763"/>
      <c r="D141" s="762"/>
      <c r="E141" s="762"/>
      <c r="F141" s="762"/>
      <c r="G141" s="762"/>
      <c r="H141" s="762"/>
      <c r="I141" s="762"/>
      <c r="J141" s="75">
        <f t="shared" si="16"/>
        <v>0</v>
      </c>
      <c r="K141" s="75">
        <f t="shared" si="17"/>
        <v>0</v>
      </c>
      <c r="L141" s="762"/>
      <c r="M141" s="764"/>
    </row>
    <row r="142" spans="1:13" ht="13.5">
      <c r="A142" s="901">
        <f>'Org structure'!E136</f>
        <v>0</v>
      </c>
      <c r="B142" s="898"/>
      <c r="C142" s="763"/>
      <c r="D142" s="762"/>
      <c r="E142" s="762"/>
      <c r="F142" s="762"/>
      <c r="G142" s="762"/>
      <c r="H142" s="762"/>
      <c r="I142" s="762"/>
      <c r="J142" s="75">
        <f t="shared" si="16"/>
        <v>0</v>
      </c>
      <c r="K142" s="75">
        <f t="shared" si="17"/>
        <v>0</v>
      </c>
      <c r="L142" s="762"/>
      <c r="M142" s="764"/>
    </row>
    <row r="143" spans="1:13" ht="13.5">
      <c r="A143" s="901">
        <f>'Org structure'!E137</f>
        <v>0</v>
      </c>
      <c r="B143" s="898"/>
      <c r="C143" s="763"/>
      <c r="D143" s="762"/>
      <c r="E143" s="762"/>
      <c r="F143" s="762"/>
      <c r="G143" s="762"/>
      <c r="H143" s="762"/>
      <c r="I143" s="762"/>
      <c r="J143" s="75">
        <f t="shared" si="16"/>
        <v>0</v>
      </c>
      <c r="K143" s="75">
        <f t="shared" si="17"/>
        <v>0</v>
      </c>
      <c r="L143" s="762"/>
      <c r="M143" s="764"/>
    </row>
    <row r="144" spans="1:13" ht="13.5">
      <c r="A144" s="901">
        <f>'Org structure'!E138</f>
        <v>0</v>
      </c>
      <c r="B144" s="898"/>
      <c r="C144" s="763"/>
      <c r="D144" s="762"/>
      <c r="E144" s="762"/>
      <c r="F144" s="762"/>
      <c r="G144" s="762"/>
      <c r="H144" s="762"/>
      <c r="I144" s="762"/>
      <c r="J144" s="75">
        <f t="shared" si="16"/>
        <v>0</v>
      </c>
      <c r="K144" s="75">
        <f t="shared" si="17"/>
        <v>0</v>
      </c>
      <c r="L144" s="762"/>
      <c r="M144" s="764"/>
    </row>
    <row r="145" spans="1:13" ht="13.5">
      <c r="A145" s="901">
        <f>'Org structure'!E139</f>
        <v>0</v>
      </c>
      <c r="B145" s="898"/>
      <c r="C145" s="763"/>
      <c r="D145" s="762"/>
      <c r="E145" s="762"/>
      <c r="F145" s="762"/>
      <c r="G145" s="762"/>
      <c r="H145" s="762"/>
      <c r="I145" s="762"/>
      <c r="J145" s="75">
        <f t="shared" si="16"/>
        <v>0</v>
      </c>
      <c r="K145" s="75">
        <f t="shared" si="17"/>
        <v>0</v>
      </c>
      <c r="L145" s="762"/>
      <c r="M145" s="764"/>
    </row>
    <row r="146" spans="1:13" ht="13.5">
      <c r="A146" s="901">
        <f>'Org structure'!E140</f>
        <v>0</v>
      </c>
      <c r="B146" s="898"/>
      <c r="C146" s="763"/>
      <c r="D146" s="762"/>
      <c r="E146" s="762"/>
      <c r="F146" s="762"/>
      <c r="G146" s="762"/>
      <c r="H146" s="762"/>
      <c r="I146" s="762"/>
      <c r="J146" s="75">
        <f t="shared" si="16"/>
        <v>0</v>
      </c>
      <c r="K146" s="75">
        <f t="shared" si="17"/>
        <v>0</v>
      </c>
      <c r="L146" s="762"/>
      <c r="M146" s="764"/>
    </row>
    <row r="147" spans="1:13" ht="13.5">
      <c r="A147" s="901">
        <f>'Org structure'!E141</f>
        <v>0</v>
      </c>
      <c r="B147" s="898"/>
      <c r="C147" s="763"/>
      <c r="D147" s="762"/>
      <c r="E147" s="762"/>
      <c r="F147" s="762"/>
      <c r="G147" s="762"/>
      <c r="H147" s="762"/>
      <c r="I147" s="762"/>
      <c r="J147" s="75">
        <f t="shared" si="16"/>
        <v>0</v>
      </c>
      <c r="K147" s="75">
        <f t="shared" si="17"/>
        <v>0</v>
      </c>
      <c r="L147" s="762"/>
      <c r="M147" s="764"/>
    </row>
    <row r="148" spans="1:13" ht="13.5">
      <c r="A148" s="901">
        <f>'Org structure'!E142</f>
        <v>0</v>
      </c>
      <c r="B148" s="898"/>
      <c r="C148" s="763"/>
      <c r="D148" s="762"/>
      <c r="E148" s="762"/>
      <c r="F148" s="762"/>
      <c r="G148" s="762"/>
      <c r="H148" s="762"/>
      <c r="I148" s="762"/>
      <c r="J148" s="75">
        <f t="shared" si="16"/>
        <v>0</v>
      </c>
      <c r="K148" s="75">
        <f t="shared" si="17"/>
        <v>0</v>
      </c>
      <c r="L148" s="762"/>
      <c r="M148" s="764"/>
    </row>
    <row r="149" spans="1:13" ht="13.5">
      <c r="A149" s="901">
        <f>'Org structure'!E143</f>
        <v>0</v>
      </c>
      <c r="B149" s="898"/>
      <c r="C149" s="763"/>
      <c r="D149" s="762"/>
      <c r="E149" s="762"/>
      <c r="F149" s="762"/>
      <c r="G149" s="762"/>
      <c r="H149" s="762"/>
      <c r="I149" s="762"/>
      <c r="J149" s="75">
        <f t="shared" si="16"/>
        <v>0</v>
      </c>
      <c r="K149" s="75">
        <f t="shared" si="17"/>
        <v>0</v>
      </c>
      <c r="L149" s="762"/>
      <c r="M149" s="764"/>
    </row>
    <row r="150" spans="1:13" ht="13.5">
      <c r="A150" s="901">
        <f>'Org structure'!E144</f>
        <v>0</v>
      </c>
      <c r="B150" s="898"/>
      <c r="C150" s="763"/>
      <c r="D150" s="762"/>
      <c r="E150" s="762"/>
      <c r="F150" s="762"/>
      <c r="G150" s="762"/>
      <c r="H150" s="762"/>
      <c r="I150" s="762"/>
      <c r="J150" s="75">
        <f t="shared" si="16"/>
        <v>0</v>
      </c>
      <c r="K150" s="75">
        <f t="shared" si="17"/>
        <v>0</v>
      </c>
      <c r="L150" s="762"/>
      <c r="M150" s="764"/>
    </row>
    <row r="151" spans="1:13" ht="13.5">
      <c r="A151" s="899" t="str">
        <f>'Org structure'!A15</f>
        <v>Vote 14 - [NAME OF VOTE 14]</v>
      </c>
      <c r="B151" s="898"/>
      <c r="C151" s="761">
        <f>SUM(C152:C161)</f>
        <v>0</v>
      </c>
      <c r="D151" s="760">
        <f t="shared" ref="D151:I151" si="19">SUM(D152:D161)</f>
        <v>0</v>
      </c>
      <c r="E151" s="760">
        <f t="shared" si="19"/>
        <v>0</v>
      </c>
      <c r="F151" s="760">
        <f t="shared" si="19"/>
        <v>0</v>
      </c>
      <c r="G151" s="760">
        <f t="shared" si="19"/>
        <v>0</v>
      </c>
      <c r="H151" s="760">
        <f t="shared" si="19"/>
        <v>0</v>
      </c>
      <c r="I151" s="760">
        <f t="shared" si="19"/>
        <v>0</v>
      </c>
      <c r="J151" s="75">
        <f t="shared" si="16"/>
        <v>0</v>
      </c>
      <c r="K151" s="75">
        <f t="shared" si="17"/>
        <v>0</v>
      </c>
      <c r="L151" s="760">
        <f>SUM(L152:L161)</f>
        <v>0</v>
      </c>
      <c r="M151" s="788">
        <f>SUM(M152:M161)</f>
        <v>0</v>
      </c>
    </row>
    <row r="152" spans="1:13" ht="13.5">
      <c r="A152" s="901" t="str">
        <f>'Org structure'!E146</f>
        <v>14.1 - [Name of sub-vote]</v>
      </c>
      <c r="B152" s="898"/>
      <c r="C152" s="763"/>
      <c r="D152" s="762"/>
      <c r="E152" s="762"/>
      <c r="F152" s="762"/>
      <c r="G152" s="762"/>
      <c r="H152" s="762"/>
      <c r="I152" s="762"/>
      <c r="J152" s="75">
        <f t="shared" si="16"/>
        <v>0</v>
      </c>
      <c r="K152" s="75">
        <f t="shared" si="17"/>
        <v>0</v>
      </c>
      <c r="L152" s="762"/>
      <c r="M152" s="764"/>
    </row>
    <row r="153" spans="1:13" ht="13.5">
      <c r="A153" s="901">
        <f>'Org structure'!E147</f>
        <v>0</v>
      </c>
      <c r="B153" s="898"/>
      <c r="C153" s="763"/>
      <c r="D153" s="762"/>
      <c r="E153" s="762"/>
      <c r="F153" s="762"/>
      <c r="G153" s="762"/>
      <c r="H153" s="762"/>
      <c r="I153" s="762"/>
      <c r="J153" s="75">
        <f t="shared" si="16"/>
        <v>0</v>
      </c>
      <c r="K153" s="75">
        <f t="shared" si="17"/>
        <v>0</v>
      </c>
      <c r="L153" s="762"/>
      <c r="M153" s="764"/>
    </row>
    <row r="154" spans="1:13" ht="13.5">
      <c r="A154" s="901">
        <f>'Org structure'!E148</f>
        <v>0</v>
      </c>
      <c r="B154" s="898"/>
      <c r="C154" s="763"/>
      <c r="D154" s="762"/>
      <c r="E154" s="762"/>
      <c r="F154" s="762"/>
      <c r="G154" s="762"/>
      <c r="H154" s="762"/>
      <c r="I154" s="762"/>
      <c r="J154" s="75">
        <f t="shared" si="16"/>
        <v>0</v>
      </c>
      <c r="K154" s="75">
        <f t="shared" si="17"/>
        <v>0</v>
      </c>
      <c r="L154" s="762"/>
      <c r="M154" s="764"/>
    </row>
    <row r="155" spans="1:13" ht="13.5">
      <c r="A155" s="901">
        <f>'Org structure'!E149</f>
        <v>0</v>
      </c>
      <c r="B155" s="898"/>
      <c r="C155" s="763"/>
      <c r="D155" s="762"/>
      <c r="E155" s="762"/>
      <c r="F155" s="762"/>
      <c r="G155" s="762"/>
      <c r="H155" s="762"/>
      <c r="I155" s="762"/>
      <c r="J155" s="75">
        <f t="shared" si="16"/>
        <v>0</v>
      </c>
      <c r="K155" s="75">
        <f t="shared" si="17"/>
        <v>0</v>
      </c>
      <c r="L155" s="762"/>
      <c r="M155" s="764"/>
    </row>
    <row r="156" spans="1:13" ht="13.5">
      <c r="A156" s="901">
        <f>'Org structure'!E150</f>
        <v>0</v>
      </c>
      <c r="B156" s="898"/>
      <c r="C156" s="763"/>
      <c r="D156" s="762"/>
      <c r="E156" s="762"/>
      <c r="F156" s="762"/>
      <c r="G156" s="762"/>
      <c r="H156" s="762"/>
      <c r="I156" s="762"/>
      <c r="J156" s="75">
        <f t="shared" si="16"/>
        <v>0</v>
      </c>
      <c r="K156" s="75">
        <f t="shared" si="17"/>
        <v>0</v>
      </c>
      <c r="L156" s="762"/>
      <c r="M156" s="764"/>
    </row>
    <row r="157" spans="1:13" ht="13.5">
      <c r="A157" s="901">
        <f>'Org structure'!E151</f>
        <v>0</v>
      </c>
      <c r="B157" s="898"/>
      <c r="C157" s="763"/>
      <c r="D157" s="762"/>
      <c r="E157" s="762"/>
      <c r="F157" s="762"/>
      <c r="G157" s="762"/>
      <c r="H157" s="762"/>
      <c r="I157" s="762"/>
      <c r="J157" s="75">
        <f t="shared" si="16"/>
        <v>0</v>
      </c>
      <c r="K157" s="75">
        <f t="shared" si="17"/>
        <v>0</v>
      </c>
      <c r="L157" s="762"/>
      <c r="M157" s="764"/>
    </row>
    <row r="158" spans="1:13" ht="13.5">
      <c r="A158" s="901">
        <f>'Org structure'!E152</f>
        <v>0</v>
      </c>
      <c r="B158" s="898"/>
      <c r="C158" s="763"/>
      <c r="D158" s="762"/>
      <c r="E158" s="762"/>
      <c r="F158" s="762"/>
      <c r="G158" s="762"/>
      <c r="H158" s="762"/>
      <c r="I158" s="762"/>
      <c r="J158" s="75">
        <f t="shared" si="16"/>
        <v>0</v>
      </c>
      <c r="K158" s="75">
        <f t="shared" si="17"/>
        <v>0</v>
      </c>
      <c r="L158" s="762"/>
      <c r="M158" s="764"/>
    </row>
    <row r="159" spans="1:13" ht="13.5">
      <c r="A159" s="901">
        <f>'Org structure'!E153</f>
        <v>0</v>
      </c>
      <c r="B159" s="898"/>
      <c r="C159" s="763"/>
      <c r="D159" s="762"/>
      <c r="E159" s="762"/>
      <c r="F159" s="762"/>
      <c r="G159" s="762"/>
      <c r="H159" s="762"/>
      <c r="I159" s="762"/>
      <c r="J159" s="75">
        <f t="shared" si="16"/>
        <v>0</v>
      </c>
      <c r="K159" s="75">
        <f t="shared" si="17"/>
        <v>0</v>
      </c>
      <c r="L159" s="762"/>
      <c r="M159" s="764"/>
    </row>
    <row r="160" spans="1:13" ht="13.5">
      <c r="A160" s="901">
        <f>'Org structure'!E154</f>
        <v>0</v>
      </c>
      <c r="B160" s="898"/>
      <c r="C160" s="763"/>
      <c r="D160" s="762"/>
      <c r="E160" s="762"/>
      <c r="F160" s="762"/>
      <c r="G160" s="762"/>
      <c r="H160" s="762"/>
      <c r="I160" s="762"/>
      <c r="J160" s="75">
        <f t="shared" si="16"/>
        <v>0</v>
      </c>
      <c r="K160" s="75">
        <f t="shared" si="17"/>
        <v>0</v>
      </c>
      <c r="L160" s="762"/>
      <c r="M160" s="764"/>
    </row>
    <row r="161" spans="1:14" ht="13.5">
      <c r="A161" s="901">
        <f>'Org structure'!E155</f>
        <v>0</v>
      </c>
      <c r="B161" s="898"/>
      <c r="C161" s="763"/>
      <c r="D161" s="762"/>
      <c r="E161" s="762"/>
      <c r="F161" s="762"/>
      <c r="G161" s="762"/>
      <c r="H161" s="762"/>
      <c r="I161" s="762"/>
      <c r="J161" s="75">
        <f t="shared" si="16"/>
        <v>0</v>
      </c>
      <c r="K161" s="75">
        <f t="shared" si="17"/>
        <v>0</v>
      </c>
      <c r="L161" s="762"/>
      <c r="M161" s="764"/>
    </row>
    <row r="162" spans="1:14" ht="13.5">
      <c r="A162" s="899" t="str">
        <f>'Org structure'!A16</f>
        <v>Vote 15 - [NAME OF VOTE 15]</v>
      </c>
      <c r="B162" s="898"/>
      <c r="C162" s="761">
        <f>SUM(C163:C172)</f>
        <v>0</v>
      </c>
      <c r="D162" s="760">
        <f t="shared" ref="D162:I162" si="20">SUM(D163:D172)</f>
        <v>0</v>
      </c>
      <c r="E162" s="760">
        <f t="shared" si="20"/>
        <v>0</v>
      </c>
      <c r="F162" s="760">
        <f t="shared" si="20"/>
        <v>0</v>
      </c>
      <c r="G162" s="760">
        <f t="shared" si="20"/>
        <v>0</v>
      </c>
      <c r="H162" s="760">
        <f t="shared" si="20"/>
        <v>0</v>
      </c>
      <c r="I162" s="760">
        <f t="shared" si="20"/>
        <v>0</v>
      </c>
      <c r="J162" s="75">
        <f t="shared" si="16"/>
        <v>0</v>
      </c>
      <c r="K162" s="75">
        <f t="shared" si="17"/>
        <v>0</v>
      </c>
      <c r="L162" s="760">
        <f>SUM(L163:L172)</f>
        <v>0</v>
      </c>
      <c r="M162" s="788">
        <f>SUM(M163:M172)</f>
        <v>0</v>
      </c>
    </row>
    <row r="163" spans="1:14" ht="13.5">
      <c r="A163" s="901" t="str">
        <f>'Org structure'!E157</f>
        <v>15.1 - [Name of sub-vote]</v>
      </c>
      <c r="B163" s="898"/>
      <c r="C163" s="763"/>
      <c r="D163" s="762"/>
      <c r="E163" s="762"/>
      <c r="F163" s="762"/>
      <c r="G163" s="762"/>
      <c r="H163" s="762"/>
      <c r="I163" s="762"/>
      <c r="J163" s="75">
        <f t="shared" si="16"/>
        <v>0</v>
      </c>
      <c r="K163" s="75">
        <f t="shared" si="17"/>
        <v>0</v>
      </c>
      <c r="L163" s="762"/>
      <c r="M163" s="764"/>
    </row>
    <row r="164" spans="1:14" ht="13.5">
      <c r="A164" s="901">
        <f>'Org structure'!E158</f>
        <v>0</v>
      </c>
      <c r="B164" s="898"/>
      <c r="C164" s="763"/>
      <c r="D164" s="762"/>
      <c r="E164" s="762"/>
      <c r="F164" s="762"/>
      <c r="G164" s="762"/>
      <c r="H164" s="762"/>
      <c r="I164" s="762"/>
      <c r="J164" s="75">
        <f t="shared" si="16"/>
        <v>0</v>
      </c>
      <c r="K164" s="75">
        <f t="shared" si="17"/>
        <v>0</v>
      </c>
      <c r="L164" s="762"/>
      <c r="M164" s="764"/>
    </row>
    <row r="165" spans="1:14" ht="13.5">
      <c r="A165" s="901">
        <f>'Org structure'!E159</f>
        <v>0</v>
      </c>
      <c r="B165" s="898"/>
      <c r="C165" s="763"/>
      <c r="D165" s="762"/>
      <c r="E165" s="762"/>
      <c r="F165" s="762"/>
      <c r="G165" s="762"/>
      <c r="H165" s="762"/>
      <c r="I165" s="762"/>
      <c r="J165" s="75">
        <f t="shared" si="16"/>
        <v>0</v>
      </c>
      <c r="K165" s="75">
        <f t="shared" si="17"/>
        <v>0</v>
      </c>
      <c r="L165" s="762"/>
      <c r="M165" s="764"/>
    </row>
    <row r="166" spans="1:14" ht="13.5">
      <c r="A166" s="901">
        <f>'Org structure'!E160</f>
        <v>0</v>
      </c>
      <c r="B166" s="898"/>
      <c r="C166" s="763"/>
      <c r="D166" s="762"/>
      <c r="E166" s="762"/>
      <c r="F166" s="762"/>
      <c r="G166" s="762"/>
      <c r="H166" s="762"/>
      <c r="I166" s="762"/>
      <c r="J166" s="75">
        <f t="shared" si="16"/>
        <v>0</v>
      </c>
      <c r="K166" s="75">
        <f t="shared" si="17"/>
        <v>0</v>
      </c>
      <c r="L166" s="762"/>
      <c r="M166" s="764"/>
    </row>
    <row r="167" spans="1:14" ht="13.5">
      <c r="A167" s="901">
        <f>'Org structure'!E161</f>
        <v>0</v>
      </c>
      <c r="B167" s="898"/>
      <c r="C167" s="763"/>
      <c r="D167" s="762"/>
      <c r="E167" s="762"/>
      <c r="F167" s="762"/>
      <c r="G167" s="762"/>
      <c r="H167" s="762"/>
      <c r="I167" s="762"/>
      <c r="J167" s="75">
        <f t="shared" si="16"/>
        <v>0</v>
      </c>
      <c r="K167" s="75">
        <f t="shared" si="17"/>
        <v>0</v>
      </c>
      <c r="L167" s="762"/>
      <c r="M167" s="764"/>
    </row>
    <row r="168" spans="1:14" ht="13.5">
      <c r="A168" s="901">
        <f>'Org structure'!E162</f>
        <v>0</v>
      </c>
      <c r="B168" s="898"/>
      <c r="C168" s="763"/>
      <c r="D168" s="762"/>
      <c r="E168" s="762"/>
      <c r="F168" s="762"/>
      <c r="G168" s="762"/>
      <c r="H168" s="762"/>
      <c r="I168" s="762"/>
      <c r="J168" s="75">
        <f t="shared" si="16"/>
        <v>0</v>
      </c>
      <c r="K168" s="75">
        <f t="shared" si="17"/>
        <v>0</v>
      </c>
      <c r="L168" s="762"/>
      <c r="M168" s="764"/>
    </row>
    <row r="169" spans="1:14" ht="13.5">
      <c r="A169" s="901">
        <f>'Org structure'!E163</f>
        <v>0</v>
      </c>
      <c r="B169" s="898"/>
      <c r="C169" s="763"/>
      <c r="D169" s="762"/>
      <c r="E169" s="762"/>
      <c r="F169" s="762"/>
      <c r="G169" s="762"/>
      <c r="H169" s="762"/>
      <c r="I169" s="762"/>
      <c r="J169" s="75">
        <f t="shared" si="16"/>
        <v>0</v>
      </c>
      <c r="K169" s="75">
        <f t="shared" si="17"/>
        <v>0</v>
      </c>
      <c r="L169" s="762"/>
      <c r="M169" s="764"/>
    </row>
    <row r="170" spans="1:14" ht="13.5">
      <c r="A170" s="901">
        <f>'Org structure'!E164</f>
        <v>0</v>
      </c>
      <c r="B170" s="898"/>
      <c r="C170" s="763"/>
      <c r="D170" s="762"/>
      <c r="E170" s="762"/>
      <c r="F170" s="762"/>
      <c r="G170" s="762"/>
      <c r="H170" s="762"/>
      <c r="I170" s="762"/>
      <c r="J170" s="75">
        <f t="shared" si="16"/>
        <v>0</v>
      </c>
      <c r="K170" s="75">
        <f t="shared" si="17"/>
        <v>0</v>
      </c>
      <c r="L170" s="762"/>
      <c r="M170" s="764"/>
    </row>
    <row r="171" spans="1:14" ht="13.5">
      <c r="A171" s="901">
        <f>'Org structure'!E165</f>
        <v>0</v>
      </c>
      <c r="B171" s="898"/>
      <c r="C171" s="763"/>
      <c r="D171" s="762"/>
      <c r="E171" s="762"/>
      <c r="F171" s="762"/>
      <c r="G171" s="762"/>
      <c r="H171" s="762"/>
      <c r="I171" s="762"/>
      <c r="J171" s="75">
        <f t="shared" si="16"/>
        <v>0</v>
      </c>
      <c r="K171" s="75">
        <f t="shared" si="17"/>
        <v>0</v>
      </c>
      <c r="L171" s="762"/>
      <c r="M171" s="764"/>
    </row>
    <row r="172" spans="1:14" ht="13.5">
      <c r="A172" s="901">
        <f>'Org structure'!E166</f>
        <v>0</v>
      </c>
      <c r="B172" s="898"/>
      <c r="C172" s="763"/>
      <c r="D172" s="762"/>
      <c r="E172" s="762"/>
      <c r="F172" s="762"/>
      <c r="G172" s="762"/>
      <c r="H172" s="762"/>
      <c r="I172" s="762"/>
      <c r="J172" s="75">
        <f t="shared" si="16"/>
        <v>0</v>
      </c>
      <c r="K172" s="75">
        <f t="shared" si="17"/>
        <v>0</v>
      </c>
      <c r="L172" s="762"/>
      <c r="M172" s="764"/>
    </row>
    <row r="173" spans="1:14" ht="13.5">
      <c r="A173" s="903" t="s">
        <v>716</v>
      </c>
      <c r="B173" s="898"/>
      <c r="C173" s="767">
        <f>C8+C19+C30+C41+C52+C63+C74+C85+C96+C107+C118+C129+C140+C151+C162</f>
        <v>165629847</v>
      </c>
      <c r="D173" s="766">
        <f t="shared" ref="D173:I173" si="21">D8+D19+D30+D41+D52+D63+D74+D85+D96+D107+D118+D129+D140+D151+D162</f>
        <v>0</v>
      </c>
      <c r="E173" s="766">
        <f t="shared" si="21"/>
        <v>0</v>
      </c>
      <c r="F173" s="766">
        <f t="shared" si="21"/>
        <v>0</v>
      </c>
      <c r="G173" s="766">
        <f t="shared" si="21"/>
        <v>0</v>
      </c>
      <c r="H173" s="766">
        <f t="shared" si="21"/>
        <v>20350000</v>
      </c>
      <c r="I173" s="766">
        <f t="shared" si="21"/>
        <v>31502614</v>
      </c>
      <c r="J173" s="75">
        <f t="shared" si="16"/>
        <v>51852614</v>
      </c>
      <c r="K173" s="75">
        <f t="shared" si="17"/>
        <v>217482461</v>
      </c>
      <c r="L173" s="766">
        <f>L8+L19+L30+L41+L52+L63+L74+L85+L96+L107+L118+L129+L140+L151+L162</f>
        <v>167012676</v>
      </c>
      <c r="M173" s="789">
        <f>M8+M19+M30+M41+M52+M63+M74+M85+M96+M107+M118+M129+M140+M151+M162</f>
        <v>215752848</v>
      </c>
    </row>
    <row r="174" spans="1:14" ht="5.25" customHeight="1">
      <c r="A174" s="904"/>
      <c r="B174" s="898"/>
      <c r="C174" s="770"/>
      <c r="D174" s="769"/>
      <c r="E174" s="769"/>
      <c r="F174" s="769"/>
      <c r="G174" s="769"/>
      <c r="H174" s="769"/>
      <c r="I174" s="769"/>
      <c r="J174" s="769"/>
      <c r="K174" s="769"/>
      <c r="L174" s="769"/>
      <c r="M174" s="790"/>
    </row>
    <row r="175" spans="1:14" ht="17.25" customHeight="1">
      <c r="A175" s="896" t="s">
        <v>1158</v>
      </c>
      <c r="B175" s="905">
        <v>2</v>
      </c>
      <c r="C175" s="794"/>
      <c r="D175" s="137"/>
      <c r="E175" s="137"/>
      <c r="F175" s="137"/>
      <c r="G175" s="137"/>
      <c r="H175" s="137"/>
      <c r="I175" s="137"/>
      <c r="J175" s="137"/>
      <c r="K175" s="137"/>
      <c r="L175" s="137"/>
      <c r="M175" s="205"/>
      <c r="N175" s="798"/>
    </row>
    <row r="176" spans="1:14" ht="13.5">
      <c r="A176" s="896" t="s">
        <v>1249</v>
      </c>
      <c r="B176" s="906"/>
      <c r="C176" s="794"/>
      <c r="D176" s="137"/>
      <c r="E176" s="137"/>
      <c r="F176" s="137"/>
      <c r="G176" s="137"/>
      <c r="H176" s="137"/>
      <c r="I176" s="137"/>
      <c r="J176" s="137"/>
      <c r="K176" s="137"/>
      <c r="L176" s="137"/>
      <c r="M176" s="205"/>
    </row>
    <row r="177" spans="1:13" ht="13.5">
      <c r="A177" s="899" t="str">
        <f>B5B!A8</f>
        <v>Vote 1 - Municipal Manager</v>
      </c>
      <c r="B177" s="898"/>
      <c r="C177" s="776">
        <f>SUM(C178:C187)</f>
        <v>0</v>
      </c>
      <c r="D177" s="775">
        <f t="shared" ref="D177:I177" si="22">SUM(D178:D187)</f>
        <v>0</v>
      </c>
      <c r="E177" s="775">
        <f t="shared" si="22"/>
        <v>0</v>
      </c>
      <c r="F177" s="775">
        <f t="shared" si="22"/>
        <v>0</v>
      </c>
      <c r="G177" s="775">
        <f t="shared" si="22"/>
        <v>0</v>
      </c>
      <c r="H177" s="775">
        <f t="shared" si="22"/>
        <v>0</v>
      </c>
      <c r="I177" s="775">
        <f t="shared" si="22"/>
        <v>0</v>
      </c>
      <c r="J177" s="75">
        <f t="shared" ref="J177:J240" si="23">SUM(E177:I177)</f>
        <v>0</v>
      </c>
      <c r="K177" s="75">
        <f t="shared" ref="K177:K240" si="24">IF(D177=0,C177+J177,D177+J177)</f>
        <v>0</v>
      </c>
      <c r="L177" s="775">
        <f>SUM(L178:L187)</f>
        <v>0</v>
      </c>
      <c r="M177" s="792">
        <f>SUM(M178:M187)</f>
        <v>0</v>
      </c>
    </row>
    <row r="178" spans="1:13" ht="13.5">
      <c r="A178" s="901" t="str">
        <f>B5B!A9</f>
        <v>1.1 - Administration Municipal Manager</v>
      </c>
      <c r="B178" s="900"/>
      <c r="C178" s="400"/>
      <c r="D178" s="109"/>
      <c r="E178" s="109"/>
      <c r="F178" s="109"/>
      <c r="G178" s="109"/>
      <c r="H178" s="109"/>
      <c r="I178" s="109"/>
      <c r="J178" s="75">
        <f t="shared" si="23"/>
        <v>0</v>
      </c>
      <c r="K178" s="75">
        <f t="shared" si="24"/>
        <v>0</v>
      </c>
      <c r="L178" s="109"/>
      <c r="M178" s="110"/>
    </row>
    <row r="179" spans="1:13" ht="13.5">
      <c r="A179" s="901" t="str">
        <f>B5B!A10</f>
        <v>1.2 - Internal Audit</v>
      </c>
      <c r="B179" s="898"/>
      <c r="C179" s="400"/>
      <c r="D179" s="109"/>
      <c r="E179" s="109"/>
      <c r="F179" s="109"/>
      <c r="G179" s="109"/>
      <c r="H179" s="109"/>
      <c r="I179" s="109"/>
      <c r="J179" s="75">
        <f t="shared" si="23"/>
        <v>0</v>
      </c>
      <c r="K179" s="75">
        <f t="shared" si="24"/>
        <v>0</v>
      </c>
      <c r="L179" s="109"/>
      <c r="M179" s="110"/>
    </row>
    <row r="180" spans="1:13" ht="13.5">
      <c r="A180" s="901" t="str">
        <f>B5B!A11</f>
        <v>1.4 - Strategic Support</v>
      </c>
      <c r="B180" s="898"/>
      <c r="C180" s="400"/>
      <c r="D180" s="109"/>
      <c r="E180" s="109"/>
      <c r="F180" s="109"/>
      <c r="G180" s="109"/>
      <c r="H180" s="109"/>
      <c r="I180" s="109"/>
      <c r="J180" s="75">
        <f t="shared" si="23"/>
        <v>0</v>
      </c>
      <c r="K180" s="75">
        <f t="shared" si="24"/>
        <v>0</v>
      </c>
      <c r="L180" s="109"/>
      <c r="M180" s="110"/>
    </row>
    <row r="181" spans="1:13" ht="13.5">
      <c r="A181" s="901" t="str">
        <f>B5B!A12</f>
        <v>1.5 - Risk Management</v>
      </c>
      <c r="B181" s="898"/>
      <c r="C181" s="400"/>
      <c r="D181" s="109"/>
      <c r="E181" s="109"/>
      <c r="F181" s="109"/>
      <c r="G181" s="109"/>
      <c r="H181" s="109"/>
      <c r="I181" s="109"/>
      <c r="J181" s="75">
        <f t="shared" si="23"/>
        <v>0</v>
      </c>
      <c r="K181" s="75">
        <f t="shared" si="24"/>
        <v>0</v>
      </c>
      <c r="L181" s="109"/>
      <c r="M181" s="110"/>
    </row>
    <row r="182" spans="1:13" ht="13.5">
      <c r="A182" s="901" t="str">
        <f>B5B!A13</f>
        <v>1.3 - Disaster Management</v>
      </c>
      <c r="B182" s="898"/>
      <c r="C182" s="400"/>
      <c r="D182" s="109"/>
      <c r="E182" s="109"/>
      <c r="F182" s="109"/>
      <c r="G182" s="109"/>
      <c r="H182" s="109"/>
      <c r="I182" s="109"/>
      <c r="J182" s="75">
        <f t="shared" si="23"/>
        <v>0</v>
      </c>
      <c r="K182" s="75">
        <f t="shared" si="24"/>
        <v>0</v>
      </c>
      <c r="L182" s="109"/>
      <c r="M182" s="110"/>
    </row>
    <row r="183" spans="1:13" ht="13.5">
      <c r="A183" s="901">
        <f>B5B!A14</f>
        <v>0</v>
      </c>
      <c r="B183" s="898"/>
      <c r="C183" s="400"/>
      <c r="D183" s="109"/>
      <c r="E183" s="109"/>
      <c r="F183" s="109"/>
      <c r="G183" s="109"/>
      <c r="H183" s="109"/>
      <c r="I183" s="109"/>
      <c r="J183" s="75">
        <f t="shared" si="23"/>
        <v>0</v>
      </c>
      <c r="K183" s="75">
        <f t="shared" si="24"/>
        <v>0</v>
      </c>
      <c r="L183" s="109"/>
      <c r="M183" s="110"/>
    </row>
    <row r="184" spans="1:13" ht="13.5">
      <c r="A184" s="901">
        <f>B5B!A15</f>
        <v>0</v>
      </c>
      <c r="B184" s="898"/>
      <c r="C184" s="400"/>
      <c r="D184" s="109"/>
      <c r="E184" s="109"/>
      <c r="F184" s="109"/>
      <c r="G184" s="109"/>
      <c r="H184" s="109"/>
      <c r="I184" s="109"/>
      <c r="J184" s="75">
        <f t="shared" si="23"/>
        <v>0</v>
      </c>
      <c r="K184" s="75">
        <f t="shared" si="24"/>
        <v>0</v>
      </c>
      <c r="L184" s="109"/>
      <c r="M184" s="110"/>
    </row>
    <row r="185" spans="1:13" ht="13.5">
      <c r="A185" s="901">
        <f>B5B!A16</f>
        <v>0</v>
      </c>
      <c r="B185" s="898"/>
      <c r="C185" s="400"/>
      <c r="D185" s="109"/>
      <c r="E185" s="109"/>
      <c r="F185" s="109"/>
      <c r="G185" s="109"/>
      <c r="H185" s="109"/>
      <c r="I185" s="109"/>
      <c r="J185" s="75">
        <f t="shared" si="23"/>
        <v>0</v>
      </c>
      <c r="K185" s="75">
        <f t="shared" si="24"/>
        <v>0</v>
      </c>
      <c r="L185" s="109"/>
      <c r="M185" s="110"/>
    </row>
    <row r="186" spans="1:13" ht="13.5">
      <c r="A186" s="901">
        <f>B5B!A17</f>
        <v>0</v>
      </c>
      <c r="B186" s="898"/>
      <c r="C186" s="400"/>
      <c r="D186" s="109"/>
      <c r="E186" s="109"/>
      <c r="F186" s="109"/>
      <c r="G186" s="109"/>
      <c r="H186" s="109"/>
      <c r="I186" s="109"/>
      <c r="J186" s="75">
        <f t="shared" si="23"/>
        <v>0</v>
      </c>
      <c r="K186" s="75">
        <f t="shared" si="24"/>
        <v>0</v>
      </c>
      <c r="L186" s="109"/>
      <c r="M186" s="110"/>
    </row>
    <row r="187" spans="1:13" ht="13.5">
      <c r="A187" s="901">
        <f>B5B!A18</f>
        <v>0</v>
      </c>
      <c r="B187" s="898"/>
      <c r="C187" s="400"/>
      <c r="D187" s="109"/>
      <c r="E187" s="109"/>
      <c r="F187" s="109"/>
      <c r="G187" s="109"/>
      <c r="H187" s="109"/>
      <c r="I187" s="109"/>
      <c r="J187" s="75">
        <f t="shared" si="23"/>
        <v>0</v>
      </c>
      <c r="K187" s="75">
        <f t="shared" si="24"/>
        <v>0</v>
      </c>
      <c r="L187" s="109"/>
      <c r="M187" s="110"/>
    </row>
    <row r="188" spans="1:13" ht="13.5">
      <c r="A188" s="899" t="str">
        <f>B5B!A19</f>
        <v>Vote 2 - Planning &amp; Economic Development</v>
      </c>
      <c r="B188" s="898"/>
      <c r="C188" s="761">
        <f>SUM(C189:C198)</f>
        <v>0</v>
      </c>
      <c r="D188" s="760">
        <f t="shared" ref="D188:I188" si="25">SUM(D189:D198)</f>
        <v>0</v>
      </c>
      <c r="E188" s="760">
        <f t="shared" si="25"/>
        <v>0</v>
      </c>
      <c r="F188" s="760">
        <f t="shared" si="25"/>
        <v>0</v>
      </c>
      <c r="G188" s="760">
        <f t="shared" si="25"/>
        <v>0</v>
      </c>
      <c r="H188" s="760">
        <f t="shared" si="25"/>
        <v>0</v>
      </c>
      <c r="I188" s="760">
        <f t="shared" si="25"/>
        <v>0</v>
      </c>
      <c r="J188" s="75">
        <f t="shared" si="23"/>
        <v>0</v>
      </c>
      <c r="K188" s="75">
        <f t="shared" si="24"/>
        <v>0</v>
      </c>
      <c r="L188" s="760">
        <f>SUM(L189:L198)</f>
        <v>0</v>
      </c>
      <c r="M188" s="788">
        <f>SUM(M189:M198)</f>
        <v>0</v>
      </c>
    </row>
    <row r="189" spans="1:13" ht="13.5">
      <c r="A189" s="901" t="str">
        <f>B5B!A20</f>
        <v>2.1 - Administration Strategy &amp; Development</v>
      </c>
      <c r="B189" s="898"/>
      <c r="C189" s="400"/>
      <c r="D189" s="109"/>
      <c r="E189" s="109"/>
      <c r="F189" s="109"/>
      <c r="G189" s="109"/>
      <c r="H189" s="109"/>
      <c r="I189" s="109"/>
      <c r="J189" s="75">
        <f t="shared" si="23"/>
        <v>0</v>
      </c>
      <c r="K189" s="75">
        <f t="shared" si="24"/>
        <v>0</v>
      </c>
      <c r="L189" s="109"/>
      <c r="M189" s="110"/>
    </row>
    <row r="190" spans="1:13" ht="13.5">
      <c r="A190" s="901" t="str">
        <f>B5B!A21</f>
        <v>2.2 - Local Economic Development</v>
      </c>
      <c r="B190" s="898"/>
      <c r="C190" s="400"/>
      <c r="D190" s="109"/>
      <c r="E190" s="109"/>
      <c r="F190" s="109"/>
      <c r="G190" s="109"/>
      <c r="H190" s="109"/>
      <c r="I190" s="109"/>
      <c r="J190" s="75">
        <f t="shared" si="23"/>
        <v>0</v>
      </c>
      <c r="K190" s="75">
        <f t="shared" si="24"/>
        <v>0</v>
      </c>
      <c r="L190" s="109"/>
      <c r="M190" s="110"/>
    </row>
    <row r="191" spans="1:13" ht="13.5">
      <c r="A191" s="901" t="str">
        <f>B5B!A22</f>
        <v>2.3 - Town &amp; Regional Planning</v>
      </c>
      <c r="B191" s="898"/>
      <c r="C191" s="400"/>
      <c r="D191" s="109"/>
      <c r="E191" s="109"/>
      <c r="F191" s="109"/>
      <c r="G191" s="109"/>
      <c r="H191" s="109"/>
      <c r="I191" s="109"/>
      <c r="J191" s="75">
        <f t="shared" si="23"/>
        <v>0</v>
      </c>
      <c r="K191" s="75">
        <f t="shared" si="24"/>
        <v>0</v>
      </c>
      <c r="L191" s="109"/>
      <c r="M191" s="110"/>
    </row>
    <row r="192" spans="1:13" ht="13.5">
      <c r="A192" s="901" t="str">
        <f>B5B!A23</f>
        <v>2.4 - Housing Administration</v>
      </c>
      <c r="B192" s="898"/>
      <c r="C192" s="400"/>
      <c r="D192" s="109"/>
      <c r="E192" s="109"/>
      <c r="F192" s="109"/>
      <c r="G192" s="109"/>
      <c r="H192" s="109"/>
      <c r="I192" s="109"/>
      <c r="J192" s="75">
        <f t="shared" si="23"/>
        <v>0</v>
      </c>
      <c r="K192" s="75">
        <f t="shared" si="24"/>
        <v>0</v>
      </c>
      <c r="L192" s="109"/>
      <c r="M192" s="110"/>
    </row>
    <row r="193" spans="1:13" ht="13.5">
      <c r="A193" s="901" t="str">
        <f>B5B!A24</f>
        <v>2.5 - SATELITE OFFICE: NKOWANKOWA</v>
      </c>
      <c r="B193" s="898"/>
      <c r="C193" s="400"/>
      <c r="D193" s="109"/>
      <c r="E193" s="109"/>
      <c r="F193" s="109"/>
      <c r="G193" s="109"/>
      <c r="H193" s="109"/>
      <c r="I193" s="109"/>
      <c r="J193" s="75">
        <f t="shared" si="23"/>
        <v>0</v>
      </c>
      <c r="K193" s="75">
        <f t="shared" si="24"/>
        <v>0</v>
      </c>
      <c r="L193" s="109"/>
      <c r="M193" s="110"/>
    </row>
    <row r="194" spans="1:13" ht="13.5">
      <c r="A194" s="901" t="str">
        <f>B5B!A25</f>
        <v>2.6 - SATELITE OFFICE: LENYENYE</v>
      </c>
      <c r="B194" s="898"/>
      <c r="C194" s="400"/>
      <c r="D194" s="109"/>
      <c r="E194" s="109"/>
      <c r="F194" s="109"/>
      <c r="G194" s="109"/>
      <c r="H194" s="109"/>
      <c r="I194" s="109"/>
      <c r="J194" s="75">
        <f t="shared" si="23"/>
        <v>0</v>
      </c>
      <c r="K194" s="75">
        <f t="shared" si="24"/>
        <v>0</v>
      </c>
      <c r="L194" s="109"/>
      <c r="M194" s="110"/>
    </row>
    <row r="195" spans="1:13" ht="13.5">
      <c r="A195" s="901" t="str">
        <f>B5B!A26</f>
        <v>2.7 - SATELITE OFFICE: LETSITELE</v>
      </c>
      <c r="B195" s="898"/>
      <c r="C195" s="400"/>
      <c r="D195" s="109"/>
      <c r="E195" s="109"/>
      <c r="F195" s="109"/>
      <c r="G195" s="109"/>
      <c r="H195" s="109"/>
      <c r="I195" s="109"/>
      <c r="J195" s="75">
        <f t="shared" si="23"/>
        <v>0</v>
      </c>
      <c r="K195" s="75">
        <f t="shared" si="24"/>
        <v>0</v>
      </c>
      <c r="L195" s="109"/>
      <c r="M195" s="110"/>
    </row>
    <row r="196" spans="1:13" ht="13.5">
      <c r="A196" s="901">
        <f>B5B!A27</f>
        <v>0</v>
      </c>
      <c r="B196" s="898"/>
      <c r="C196" s="400"/>
      <c r="D196" s="109"/>
      <c r="E196" s="109"/>
      <c r="F196" s="109"/>
      <c r="G196" s="109"/>
      <c r="H196" s="109"/>
      <c r="I196" s="109"/>
      <c r="J196" s="75">
        <f t="shared" si="23"/>
        <v>0</v>
      </c>
      <c r="K196" s="75">
        <f t="shared" si="24"/>
        <v>0</v>
      </c>
      <c r="L196" s="109"/>
      <c r="M196" s="110"/>
    </row>
    <row r="197" spans="1:13" ht="13.5">
      <c r="A197" s="901">
        <f>B5B!A28</f>
        <v>0</v>
      </c>
      <c r="B197" s="898"/>
      <c r="C197" s="400"/>
      <c r="D197" s="109"/>
      <c r="E197" s="109"/>
      <c r="F197" s="109"/>
      <c r="G197" s="109"/>
      <c r="H197" s="109"/>
      <c r="I197" s="109"/>
      <c r="J197" s="75">
        <f t="shared" si="23"/>
        <v>0</v>
      </c>
      <c r="K197" s="75">
        <f t="shared" si="24"/>
        <v>0</v>
      </c>
      <c r="L197" s="109"/>
      <c r="M197" s="110"/>
    </row>
    <row r="198" spans="1:13" ht="13.5">
      <c r="A198" s="901">
        <f>B5B!A29</f>
        <v>0</v>
      </c>
      <c r="B198" s="900"/>
      <c r="C198" s="400"/>
      <c r="D198" s="109"/>
      <c r="E198" s="109"/>
      <c r="F198" s="109"/>
      <c r="G198" s="109"/>
      <c r="H198" s="109"/>
      <c r="I198" s="109"/>
      <c r="J198" s="75">
        <f t="shared" si="23"/>
        <v>0</v>
      </c>
      <c r="K198" s="75">
        <f t="shared" si="24"/>
        <v>0</v>
      </c>
      <c r="L198" s="109"/>
      <c r="M198" s="110"/>
    </row>
    <row r="199" spans="1:13" ht="13.5">
      <c r="A199" s="899" t="str">
        <f>B5B!A30</f>
        <v>Vote 3 - Financial Services</v>
      </c>
      <c r="B199" s="898"/>
      <c r="C199" s="761">
        <f>SUM(C200:C209)</f>
        <v>0</v>
      </c>
      <c r="D199" s="760">
        <f t="shared" ref="D199:I199" si="26">SUM(D200:D209)</f>
        <v>0</v>
      </c>
      <c r="E199" s="760">
        <f t="shared" si="26"/>
        <v>0</v>
      </c>
      <c r="F199" s="760">
        <f t="shared" si="26"/>
        <v>0</v>
      </c>
      <c r="G199" s="760">
        <f t="shared" si="26"/>
        <v>0</v>
      </c>
      <c r="H199" s="760">
        <f t="shared" si="26"/>
        <v>0</v>
      </c>
      <c r="I199" s="760">
        <f t="shared" si="26"/>
        <v>0</v>
      </c>
      <c r="J199" s="75">
        <f t="shared" si="23"/>
        <v>0</v>
      </c>
      <c r="K199" s="75">
        <f t="shared" si="24"/>
        <v>0</v>
      </c>
      <c r="L199" s="760">
        <f>SUM(L200:L209)</f>
        <v>0</v>
      </c>
      <c r="M199" s="788">
        <f>SUM(M200:M209)</f>
        <v>0</v>
      </c>
    </row>
    <row r="200" spans="1:13" ht="13.5">
      <c r="A200" s="901" t="str">
        <f>B5B!A31</f>
        <v>3.1 - Administration Finance</v>
      </c>
      <c r="B200" s="898"/>
      <c r="C200" s="400"/>
      <c r="D200" s="109"/>
      <c r="E200" s="109"/>
      <c r="F200" s="109"/>
      <c r="G200" s="109"/>
      <c r="H200" s="109"/>
      <c r="I200" s="109"/>
      <c r="J200" s="75">
        <f t="shared" si="23"/>
        <v>0</v>
      </c>
      <c r="K200" s="75">
        <f t="shared" si="24"/>
        <v>0</v>
      </c>
      <c r="L200" s="109"/>
      <c r="M200" s="110"/>
    </row>
    <row r="201" spans="1:13" ht="13.5">
      <c r="A201" s="901" t="str">
        <f>B5B!A32</f>
        <v>3.2 - Budget office</v>
      </c>
      <c r="B201" s="898"/>
      <c r="C201" s="400"/>
      <c r="D201" s="109"/>
      <c r="E201" s="109"/>
      <c r="F201" s="109"/>
      <c r="G201" s="109"/>
      <c r="H201" s="109"/>
      <c r="I201" s="109"/>
      <c r="J201" s="75">
        <f t="shared" si="23"/>
        <v>0</v>
      </c>
      <c r="K201" s="75">
        <f t="shared" si="24"/>
        <v>0</v>
      </c>
      <c r="L201" s="109"/>
      <c r="M201" s="110"/>
    </row>
    <row r="202" spans="1:13" ht="13.5">
      <c r="A202" s="901" t="str">
        <f>B5B!A33</f>
        <v>3.3 - Revenue</v>
      </c>
      <c r="B202" s="898"/>
      <c r="C202" s="400"/>
      <c r="D202" s="109"/>
      <c r="E202" s="109"/>
      <c r="F202" s="109"/>
      <c r="G202" s="109"/>
      <c r="H202" s="109"/>
      <c r="I202" s="109"/>
      <c r="J202" s="75">
        <f t="shared" si="23"/>
        <v>0</v>
      </c>
      <c r="K202" s="75">
        <f t="shared" si="24"/>
        <v>0</v>
      </c>
      <c r="L202" s="109"/>
      <c r="M202" s="110"/>
    </row>
    <row r="203" spans="1:13" ht="13.5">
      <c r="A203" s="901" t="str">
        <f>B5B!A34</f>
        <v>3.4 - Expenditure</v>
      </c>
      <c r="B203" s="898"/>
      <c r="C203" s="400"/>
      <c r="D203" s="109"/>
      <c r="E203" s="109"/>
      <c r="F203" s="109"/>
      <c r="G203" s="109"/>
      <c r="H203" s="109"/>
      <c r="I203" s="109"/>
      <c r="J203" s="75">
        <f t="shared" si="23"/>
        <v>0</v>
      </c>
      <c r="K203" s="75">
        <f t="shared" si="24"/>
        <v>0</v>
      </c>
      <c r="L203" s="109"/>
      <c r="M203" s="110"/>
    </row>
    <row r="204" spans="1:13" ht="13.5">
      <c r="A204" s="901" t="str">
        <f>B5B!A35</f>
        <v>3.5 - Inventory</v>
      </c>
      <c r="B204" s="898"/>
      <c r="C204" s="400"/>
      <c r="D204" s="109"/>
      <c r="E204" s="109"/>
      <c r="F204" s="109"/>
      <c r="G204" s="109"/>
      <c r="H204" s="109"/>
      <c r="I204" s="109"/>
      <c r="J204" s="75">
        <f t="shared" si="23"/>
        <v>0</v>
      </c>
      <c r="K204" s="75">
        <f t="shared" si="24"/>
        <v>0</v>
      </c>
      <c r="L204" s="109"/>
      <c r="M204" s="110"/>
    </row>
    <row r="205" spans="1:13" ht="13.5">
      <c r="A205" s="901" t="str">
        <f>B5B!A36</f>
        <v>3.6 - Supply Chain Management</v>
      </c>
      <c r="B205" s="898"/>
      <c r="C205" s="400"/>
      <c r="D205" s="109"/>
      <c r="E205" s="109"/>
      <c r="F205" s="109"/>
      <c r="G205" s="109"/>
      <c r="H205" s="109"/>
      <c r="I205" s="109"/>
      <c r="J205" s="75">
        <f t="shared" si="23"/>
        <v>0</v>
      </c>
      <c r="K205" s="75">
        <f t="shared" si="24"/>
        <v>0</v>
      </c>
      <c r="L205" s="109"/>
      <c r="M205" s="110"/>
    </row>
    <row r="206" spans="1:13" ht="13.5">
      <c r="A206" s="901">
        <f>B5B!A37</f>
        <v>0</v>
      </c>
      <c r="B206" s="898"/>
      <c r="C206" s="400"/>
      <c r="D206" s="109"/>
      <c r="E206" s="109"/>
      <c r="F206" s="109"/>
      <c r="G206" s="109"/>
      <c r="H206" s="109"/>
      <c r="I206" s="109"/>
      <c r="J206" s="75">
        <f t="shared" si="23"/>
        <v>0</v>
      </c>
      <c r="K206" s="75">
        <f t="shared" si="24"/>
        <v>0</v>
      </c>
      <c r="L206" s="109"/>
      <c r="M206" s="110"/>
    </row>
    <row r="207" spans="1:13" ht="13.5">
      <c r="A207" s="901">
        <f>B5B!A38</f>
        <v>0</v>
      </c>
      <c r="B207" s="898"/>
      <c r="C207" s="400"/>
      <c r="D207" s="109"/>
      <c r="E207" s="109"/>
      <c r="F207" s="109"/>
      <c r="G207" s="109"/>
      <c r="H207" s="109"/>
      <c r="I207" s="109"/>
      <c r="J207" s="75">
        <f t="shared" si="23"/>
        <v>0</v>
      </c>
      <c r="K207" s="75">
        <f t="shared" si="24"/>
        <v>0</v>
      </c>
      <c r="L207" s="109"/>
      <c r="M207" s="110"/>
    </row>
    <row r="208" spans="1:13" ht="13.5">
      <c r="A208" s="901">
        <f>B5B!A39</f>
        <v>0</v>
      </c>
      <c r="B208" s="898"/>
      <c r="C208" s="400"/>
      <c r="D208" s="109"/>
      <c r="E208" s="109"/>
      <c r="F208" s="109"/>
      <c r="G208" s="109"/>
      <c r="H208" s="109"/>
      <c r="I208" s="109"/>
      <c r="J208" s="75">
        <f t="shared" si="23"/>
        <v>0</v>
      </c>
      <c r="K208" s="75">
        <f t="shared" si="24"/>
        <v>0</v>
      </c>
      <c r="L208" s="109"/>
      <c r="M208" s="110"/>
    </row>
    <row r="209" spans="1:13" ht="13.5">
      <c r="A209" s="901">
        <f>B5B!A40</f>
        <v>0</v>
      </c>
      <c r="B209" s="900"/>
      <c r="C209" s="400"/>
      <c r="D209" s="109"/>
      <c r="E209" s="109"/>
      <c r="F209" s="109"/>
      <c r="G209" s="109"/>
      <c r="H209" s="109"/>
      <c r="I209" s="109"/>
      <c r="J209" s="75">
        <f t="shared" si="23"/>
        <v>0</v>
      </c>
      <c r="K209" s="75">
        <f t="shared" si="24"/>
        <v>0</v>
      </c>
      <c r="L209" s="109"/>
      <c r="M209" s="110"/>
    </row>
    <row r="210" spans="1:13" ht="13.5">
      <c r="A210" s="899" t="str">
        <f>B5B!A41</f>
        <v>Vote 4 - Corporate Services</v>
      </c>
      <c r="B210" s="898"/>
      <c r="C210" s="761">
        <f t="shared" ref="C210:I210" si="27">SUM(C211:C220)</f>
        <v>0</v>
      </c>
      <c r="D210" s="760">
        <f t="shared" si="27"/>
        <v>0</v>
      </c>
      <c r="E210" s="760">
        <f t="shared" si="27"/>
        <v>0</v>
      </c>
      <c r="F210" s="760">
        <f t="shared" si="27"/>
        <v>0</v>
      </c>
      <c r="G210" s="760">
        <f t="shared" si="27"/>
        <v>0</v>
      </c>
      <c r="H210" s="760">
        <f t="shared" si="27"/>
        <v>0</v>
      </c>
      <c r="I210" s="760">
        <f t="shared" si="27"/>
        <v>0</v>
      </c>
      <c r="J210" s="75">
        <f t="shared" si="23"/>
        <v>0</v>
      </c>
      <c r="K210" s="75">
        <f t="shared" si="24"/>
        <v>0</v>
      </c>
      <c r="L210" s="760">
        <f>SUM(L211:L220)</f>
        <v>0</v>
      </c>
      <c r="M210" s="788">
        <f>SUM(M211:M220)</f>
        <v>0</v>
      </c>
    </row>
    <row r="211" spans="1:13" ht="13.5">
      <c r="A211" s="901" t="str">
        <f>B5B!A42</f>
        <v>4.1 - Communications</v>
      </c>
      <c r="B211" s="898"/>
      <c r="C211" s="400"/>
      <c r="D211" s="109"/>
      <c r="E211" s="109"/>
      <c r="F211" s="109"/>
      <c r="G211" s="109"/>
      <c r="H211" s="109"/>
      <c r="I211" s="109"/>
      <c r="J211" s="75">
        <f t="shared" si="23"/>
        <v>0</v>
      </c>
      <c r="K211" s="75">
        <f t="shared" si="24"/>
        <v>0</v>
      </c>
      <c r="L211" s="109"/>
      <c r="M211" s="110"/>
    </row>
    <row r="212" spans="1:13" ht="13.5">
      <c r="A212" s="901" t="str">
        <f>B5B!A43</f>
        <v>4.2 - Public Participation &amp; Project Support</v>
      </c>
      <c r="B212" s="898"/>
      <c r="C212" s="400"/>
      <c r="D212" s="109"/>
      <c r="E212" s="109"/>
      <c r="F212" s="109"/>
      <c r="G212" s="109"/>
      <c r="H212" s="109"/>
      <c r="I212" s="109"/>
      <c r="J212" s="75">
        <f t="shared" si="23"/>
        <v>0</v>
      </c>
      <c r="K212" s="75">
        <f t="shared" si="24"/>
        <v>0</v>
      </c>
      <c r="L212" s="109"/>
      <c r="M212" s="110"/>
    </row>
    <row r="213" spans="1:13" ht="13.5">
      <c r="A213" s="901" t="str">
        <f>B5B!A44</f>
        <v>4.10 - Information Technolgy</v>
      </c>
      <c r="B213" s="898"/>
      <c r="C213" s="400"/>
      <c r="D213" s="109"/>
      <c r="E213" s="109"/>
      <c r="F213" s="109"/>
      <c r="G213" s="109"/>
      <c r="H213" s="109"/>
      <c r="I213" s="109"/>
      <c r="J213" s="75">
        <f t="shared" si="23"/>
        <v>0</v>
      </c>
      <c r="K213" s="75">
        <f t="shared" si="24"/>
        <v>0</v>
      </c>
      <c r="L213" s="109"/>
      <c r="M213" s="110"/>
    </row>
    <row r="214" spans="1:13" ht="13.5">
      <c r="A214" s="901" t="str">
        <f>B5B!A45</f>
        <v>4.4 - Administration HR &amp; Corporate</v>
      </c>
      <c r="B214" s="898"/>
      <c r="C214" s="400"/>
      <c r="D214" s="109"/>
      <c r="E214" s="109"/>
      <c r="F214" s="109"/>
      <c r="G214" s="109"/>
      <c r="H214" s="109"/>
      <c r="I214" s="109"/>
      <c r="J214" s="75">
        <f t="shared" si="23"/>
        <v>0</v>
      </c>
      <c r="K214" s="75">
        <f t="shared" si="24"/>
        <v>0</v>
      </c>
      <c r="L214" s="109"/>
      <c r="M214" s="110"/>
    </row>
    <row r="215" spans="1:13" ht="13.5">
      <c r="A215" s="901" t="str">
        <f>B5B!A46</f>
        <v>4.5 - Human Resources</v>
      </c>
      <c r="B215" s="898"/>
      <c r="C215" s="400"/>
      <c r="D215" s="109"/>
      <c r="E215" s="109"/>
      <c r="F215" s="109"/>
      <c r="G215" s="109"/>
      <c r="H215" s="109"/>
      <c r="I215" s="109"/>
      <c r="J215" s="75">
        <f t="shared" si="23"/>
        <v>0</v>
      </c>
      <c r="K215" s="75">
        <f t="shared" si="24"/>
        <v>0</v>
      </c>
      <c r="L215" s="109"/>
      <c r="M215" s="110"/>
    </row>
    <row r="216" spans="1:13" ht="13.5">
      <c r="A216" s="901" t="str">
        <f>B5B!A47</f>
        <v>4.6 - Occupational Health &amp; safety</v>
      </c>
      <c r="B216" s="898"/>
      <c r="C216" s="400"/>
      <c r="D216" s="109"/>
      <c r="E216" s="109"/>
      <c r="F216" s="109"/>
      <c r="G216" s="109"/>
      <c r="H216" s="109"/>
      <c r="I216" s="109"/>
      <c r="J216" s="75">
        <f t="shared" si="23"/>
        <v>0</v>
      </c>
      <c r="K216" s="75">
        <f t="shared" si="24"/>
        <v>0</v>
      </c>
      <c r="L216" s="109"/>
      <c r="M216" s="110"/>
    </row>
    <row r="217" spans="1:13" ht="13.5">
      <c r="A217" s="901" t="str">
        <f>B5B!A48</f>
        <v>4.8 - Corporate Services</v>
      </c>
      <c r="B217" s="898"/>
      <c r="C217" s="400"/>
      <c r="D217" s="109"/>
      <c r="E217" s="109"/>
      <c r="F217" s="109"/>
      <c r="G217" s="109"/>
      <c r="H217" s="109"/>
      <c r="I217" s="109"/>
      <c r="J217" s="75">
        <f t="shared" si="23"/>
        <v>0</v>
      </c>
      <c r="K217" s="75">
        <f t="shared" si="24"/>
        <v>0</v>
      </c>
      <c r="L217" s="109"/>
      <c r="M217" s="110"/>
    </row>
    <row r="218" spans="1:13" ht="13.5">
      <c r="A218" s="901" t="str">
        <f>B5B!A49</f>
        <v>4.9 - Council Expenditure</v>
      </c>
      <c r="B218" s="898"/>
      <c r="C218" s="400"/>
      <c r="D218" s="109"/>
      <c r="E218" s="109"/>
      <c r="F218" s="109"/>
      <c r="G218" s="109"/>
      <c r="H218" s="109"/>
      <c r="I218" s="109"/>
      <c r="J218" s="75">
        <f t="shared" si="23"/>
        <v>0</v>
      </c>
      <c r="K218" s="75">
        <f t="shared" si="24"/>
        <v>0</v>
      </c>
      <c r="L218" s="109"/>
      <c r="M218" s="110"/>
    </row>
    <row r="219" spans="1:13" ht="13.5">
      <c r="A219" s="901" t="str">
        <f>B5B!A50</f>
        <v>4.7 - Legal Services</v>
      </c>
      <c r="B219" s="898"/>
      <c r="C219" s="400"/>
      <c r="D219" s="109"/>
      <c r="E219" s="109"/>
      <c r="F219" s="109"/>
      <c r="G219" s="109"/>
      <c r="H219" s="109"/>
      <c r="I219" s="109"/>
      <c r="J219" s="75">
        <f t="shared" si="23"/>
        <v>0</v>
      </c>
      <c r="K219" s="75">
        <f t="shared" si="24"/>
        <v>0</v>
      </c>
      <c r="L219" s="109"/>
      <c r="M219" s="110"/>
    </row>
    <row r="220" spans="1:13" ht="13.5">
      <c r="A220" s="901">
        <f>B5B!A51</f>
        <v>0</v>
      </c>
      <c r="B220" s="900"/>
      <c r="C220" s="400"/>
      <c r="D220" s="109"/>
      <c r="E220" s="109"/>
      <c r="F220" s="109"/>
      <c r="G220" s="109"/>
      <c r="H220" s="109"/>
      <c r="I220" s="109"/>
      <c r="J220" s="75">
        <f t="shared" si="23"/>
        <v>0</v>
      </c>
      <c r="K220" s="75">
        <f t="shared" si="24"/>
        <v>0</v>
      </c>
      <c r="L220" s="109"/>
      <c r="M220" s="110"/>
    </row>
    <row r="221" spans="1:13" ht="13.5">
      <c r="A221" s="899" t="str">
        <f>B5B!A52</f>
        <v>Vote 5 - Community Services</v>
      </c>
      <c r="B221" s="898"/>
      <c r="C221" s="761">
        <f t="shared" ref="C221:I221" si="28">SUM(C222:C231)</f>
        <v>0</v>
      </c>
      <c r="D221" s="760">
        <f t="shared" si="28"/>
        <v>0</v>
      </c>
      <c r="E221" s="760">
        <f t="shared" si="28"/>
        <v>0</v>
      </c>
      <c r="F221" s="760">
        <f t="shared" si="28"/>
        <v>0</v>
      </c>
      <c r="G221" s="760">
        <f t="shared" si="28"/>
        <v>0</v>
      </c>
      <c r="H221" s="760">
        <f t="shared" si="28"/>
        <v>0</v>
      </c>
      <c r="I221" s="760">
        <f t="shared" si="28"/>
        <v>0</v>
      </c>
      <c r="J221" s="75">
        <f t="shared" si="23"/>
        <v>0</v>
      </c>
      <c r="K221" s="75">
        <f t="shared" si="24"/>
        <v>0</v>
      </c>
      <c r="L221" s="760">
        <f>SUM(L222:L231)</f>
        <v>0</v>
      </c>
      <c r="M221" s="788">
        <f>SUM(M222:M231)</f>
        <v>0</v>
      </c>
    </row>
    <row r="222" spans="1:13" ht="13.5">
      <c r="A222" s="901" t="str">
        <f>B5B!A53</f>
        <v>5.1 - Parks &amp; Recreation</v>
      </c>
      <c r="B222" s="898"/>
      <c r="C222" s="400"/>
      <c r="D222" s="109"/>
      <c r="E222" s="109"/>
      <c r="F222" s="109"/>
      <c r="G222" s="109"/>
      <c r="H222" s="109"/>
      <c r="I222" s="109"/>
      <c r="J222" s="75">
        <f t="shared" si="23"/>
        <v>0</v>
      </c>
      <c r="K222" s="75">
        <f t="shared" si="24"/>
        <v>0</v>
      </c>
      <c r="L222" s="109"/>
      <c r="M222" s="110"/>
    </row>
    <row r="223" spans="1:13" ht="13.5">
      <c r="A223" s="901" t="str">
        <f>B5B!A54</f>
        <v>5.2 - Administration Community Services</v>
      </c>
      <c r="B223" s="898"/>
      <c r="C223" s="400"/>
      <c r="D223" s="109"/>
      <c r="E223" s="109"/>
      <c r="F223" s="109"/>
      <c r="G223" s="109"/>
      <c r="H223" s="109"/>
      <c r="I223" s="109"/>
      <c r="J223" s="75">
        <f t="shared" si="23"/>
        <v>0</v>
      </c>
      <c r="K223" s="75">
        <f t="shared" si="24"/>
        <v>0</v>
      </c>
      <c r="L223" s="109"/>
      <c r="M223" s="110"/>
    </row>
    <row r="224" spans="1:13" ht="13.5">
      <c r="A224" s="901" t="str">
        <f>B5B!A55</f>
        <v>5.3 - Community Health Services</v>
      </c>
      <c r="B224" s="898"/>
      <c r="C224" s="400"/>
      <c r="D224" s="109"/>
      <c r="E224" s="109"/>
      <c r="F224" s="109"/>
      <c r="G224" s="109"/>
      <c r="H224" s="109"/>
      <c r="I224" s="109"/>
      <c r="J224" s="75">
        <f t="shared" si="23"/>
        <v>0</v>
      </c>
      <c r="K224" s="75">
        <f t="shared" si="24"/>
        <v>0</v>
      </c>
      <c r="L224" s="109"/>
      <c r="M224" s="110"/>
    </row>
    <row r="225" spans="1:13" ht="13.5">
      <c r="A225" s="901" t="str">
        <f>B5B!A56</f>
        <v>5.4 - Enviromental Health Services</v>
      </c>
      <c r="B225" s="898"/>
      <c r="C225" s="400"/>
      <c r="D225" s="109"/>
      <c r="E225" s="109"/>
      <c r="F225" s="109"/>
      <c r="G225" s="109"/>
      <c r="H225" s="109"/>
      <c r="I225" s="109"/>
      <c r="J225" s="75">
        <f t="shared" si="23"/>
        <v>0</v>
      </c>
      <c r="K225" s="75">
        <f t="shared" si="24"/>
        <v>0</v>
      </c>
      <c r="L225" s="109"/>
      <c r="M225" s="110"/>
    </row>
    <row r="226" spans="1:13" ht="13.5">
      <c r="A226" s="901" t="str">
        <f>B5B!A57</f>
        <v>5.5 - Library Services</v>
      </c>
      <c r="B226" s="898"/>
      <c r="C226" s="400"/>
      <c r="D226" s="109"/>
      <c r="E226" s="109"/>
      <c r="F226" s="109"/>
      <c r="G226" s="109"/>
      <c r="H226" s="109"/>
      <c r="I226" s="109"/>
      <c r="J226" s="75">
        <f t="shared" si="23"/>
        <v>0</v>
      </c>
      <c r="K226" s="75">
        <f t="shared" si="24"/>
        <v>0</v>
      </c>
      <c r="L226" s="109"/>
      <c r="M226" s="110"/>
    </row>
    <row r="227" spans="1:13" ht="13.5">
      <c r="A227" s="901" t="str">
        <f>B5B!A58</f>
        <v>5.6 - Solid Waste</v>
      </c>
      <c r="B227" s="898"/>
      <c r="C227" s="400"/>
      <c r="D227" s="109"/>
      <c r="E227" s="109"/>
      <c r="F227" s="109"/>
      <c r="G227" s="109"/>
      <c r="H227" s="109"/>
      <c r="I227" s="109"/>
      <c r="J227" s="75">
        <f t="shared" si="23"/>
        <v>0</v>
      </c>
      <c r="K227" s="75">
        <f t="shared" si="24"/>
        <v>0</v>
      </c>
      <c r="L227" s="109"/>
      <c r="M227" s="110"/>
    </row>
    <row r="228" spans="1:13" ht="13.5">
      <c r="A228" s="901" t="str">
        <f>B5B!A59</f>
        <v>5.7 - Street Cleansing</v>
      </c>
      <c r="B228" s="898"/>
      <c r="C228" s="400"/>
      <c r="D228" s="109"/>
      <c r="E228" s="109"/>
      <c r="F228" s="109"/>
      <c r="G228" s="109"/>
      <c r="H228" s="109"/>
      <c r="I228" s="109"/>
      <c r="J228" s="75">
        <f t="shared" si="23"/>
        <v>0</v>
      </c>
      <c r="K228" s="75">
        <f t="shared" si="24"/>
        <v>0</v>
      </c>
      <c r="L228" s="109"/>
      <c r="M228" s="110"/>
    </row>
    <row r="229" spans="1:13" ht="13.5">
      <c r="A229" s="901" t="str">
        <f>B5B!A60</f>
        <v>5.8 - Public Toilets</v>
      </c>
      <c r="B229" s="898"/>
      <c r="C229" s="400"/>
      <c r="D229" s="109"/>
      <c r="E229" s="109"/>
      <c r="F229" s="109"/>
      <c r="G229" s="109"/>
      <c r="H229" s="109"/>
      <c r="I229" s="109"/>
      <c r="J229" s="75">
        <f t="shared" si="23"/>
        <v>0</v>
      </c>
      <c r="K229" s="75">
        <f t="shared" si="24"/>
        <v>0</v>
      </c>
      <c r="L229" s="109"/>
      <c r="M229" s="110"/>
    </row>
    <row r="230" spans="1:13" ht="13.5">
      <c r="A230" s="901">
        <f>B5B!A61</f>
        <v>0</v>
      </c>
      <c r="B230" s="898"/>
      <c r="C230" s="400"/>
      <c r="D230" s="109"/>
      <c r="E230" s="109"/>
      <c r="F230" s="109"/>
      <c r="G230" s="109"/>
      <c r="H230" s="109"/>
      <c r="I230" s="109"/>
      <c r="J230" s="75">
        <f t="shared" si="23"/>
        <v>0</v>
      </c>
      <c r="K230" s="75">
        <f t="shared" si="24"/>
        <v>0</v>
      </c>
      <c r="L230" s="109"/>
      <c r="M230" s="110"/>
    </row>
    <row r="231" spans="1:13" ht="13.5">
      <c r="A231" s="901">
        <f>B5B!A62</f>
        <v>0</v>
      </c>
      <c r="B231" s="900"/>
      <c r="C231" s="400"/>
      <c r="D231" s="109"/>
      <c r="E231" s="109"/>
      <c r="F231" s="109"/>
      <c r="G231" s="109"/>
      <c r="H231" s="109"/>
      <c r="I231" s="109"/>
      <c r="J231" s="75">
        <f t="shared" si="23"/>
        <v>0</v>
      </c>
      <c r="K231" s="75">
        <f t="shared" si="24"/>
        <v>0</v>
      </c>
      <c r="L231" s="109"/>
      <c r="M231" s="110"/>
    </row>
    <row r="232" spans="1:13" ht="13.5">
      <c r="A232" s="899" t="str">
        <f>B5B!A63</f>
        <v>Vote 6 - Community Services</v>
      </c>
      <c r="B232" s="898"/>
      <c r="C232" s="761">
        <f t="shared" ref="C232:I232" si="29">SUM(C233:C242)</f>
        <v>0</v>
      </c>
      <c r="D232" s="760">
        <f t="shared" si="29"/>
        <v>0</v>
      </c>
      <c r="E232" s="760">
        <f t="shared" si="29"/>
        <v>0</v>
      </c>
      <c r="F232" s="760">
        <f t="shared" si="29"/>
        <v>0</v>
      </c>
      <c r="G232" s="760">
        <f t="shared" si="29"/>
        <v>0</v>
      </c>
      <c r="H232" s="760">
        <f t="shared" si="29"/>
        <v>0</v>
      </c>
      <c r="I232" s="760">
        <f t="shared" si="29"/>
        <v>0</v>
      </c>
      <c r="J232" s="75">
        <f t="shared" si="23"/>
        <v>0</v>
      </c>
      <c r="K232" s="75">
        <f t="shared" si="24"/>
        <v>0</v>
      </c>
      <c r="L232" s="760">
        <f>SUM(L233:L242)</f>
        <v>0</v>
      </c>
      <c r="M232" s="788">
        <f>SUM(M233:M242)</f>
        <v>0</v>
      </c>
    </row>
    <row r="233" spans="1:13" ht="13.5">
      <c r="A233" s="901" t="str">
        <f>B5B!A64</f>
        <v>6.2 - Administration Transport,safety,Security</v>
      </c>
      <c r="B233" s="898"/>
      <c r="C233" s="400"/>
      <c r="D233" s="109"/>
      <c r="E233" s="109"/>
      <c r="F233" s="109"/>
      <c r="G233" s="109"/>
      <c r="H233" s="109"/>
      <c r="I233" s="109"/>
      <c r="J233" s="75">
        <f t="shared" si="23"/>
        <v>0</v>
      </c>
      <c r="K233" s="75">
        <f t="shared" si="24"/>
        <v>0</v>
      </c>
      <c r="L233" s="109"/>
      <c r="M233" s="110"/>
    </row>
    <row r="234" spans="1:13" ht="13.5">
      <c r="A234" s="901" t="str">
        <f>B5B!A65</f>
        <v>6.3 - Vehicle licencing</v>
      </c>
      <c r="B234" s="898"/>
      <c r="C234" s="400"/>
      <c r="D234" s="109"/>
      <c r="E234" s="109"/>
      <c r="F234" s="109"/>
      <c r="G234" s="109"/>
      <c r="H234" s="109"/>
      <c r="I234" s="109"/>
      <c r="J234" s="75">
        <f t="shared" si="23"/>
        <v>0</v>
      </c>
      <c r="K234" s="75">
        <f t="shared" si="24"/>
        <v>0</v>
      </c>
      <c r="L234" s="109"/>
      <c r="M234" s="110"/>
    </row>
    <row r="235" spans="1:13" ht="13.5">
      <c r="A235" s="901" t="str">
        <f>B5B!A66</f>
        <v>6.1 - Traffic services</v>
      </c>
      <c r="B235" s="898"/>
      <c r="C235" s="400"/>
      <c r="D235" s="109"/>
      <c r="E235" s="109"/>
      <c r="F235" s="109"/>
      <c r="G235" s="109"/>
      <c r="H235" s="109"/>
      <c r="I235" s="109"/>
      <c r="J235" s="75">
        <f t="shared" si="23"/>
        <v>0</v>
      </c>
      <c r="K235" s="75">
        <f t="shared" si="24"/>
        <v>0</v>
      </c>
      <c r="L235" s="109"/>
      <c r="M235" s="110"/>
    </row>
    <row r="236" spans="1:13" ht="13.5">
      <c r="A236" s="901">
        <f>B5B!A67</f>
        <v>0</v>
      </c>
      <c r="B236" s="898"/>
      <c r="C236" s="400"/>
      <c r="D236" s="109"/>
      <c r="E236" s="109"/>
      <c r="F236" s="109"/>
      <c r="G236" s="109"/>
      <c r="H236" s="109"/>
      <c r="I236" s="109"/>
      <c r="J236" s="75">
        <f t="shared" si="23"/>
        <v>0</v>
      </c>
      <c r="K236" s="75">
        <f t="shared" si="24"/>
        <v>0</v>
      </c>
      <c r="L236" s="109"/>
      <c r="M236" s="110"/>
    </row>
    <row r="237" spans="1:13" ht="13.5">
      <c r="A237" s="901">
        <f>B5B!A68</f>
        <v>0</v>
      </c>
      <c r="B237" s="898"/>
      <c r="C237" s="400"/>
      <c r="D237" s="109"/>
      <c r="E237" s="109"/>
      <c r="F237" s="109"/>
      <c r="G237" s="109"/>
      <c r="H237" s="109"/>
      <c r="I237" s="109"/>
      <c r="J237" s="75">
        <f t="shared" si="23"/>
        <v>0</v>
      </c>
      <c r="K237" s="75">
        <f t="shared" si="24"/>
        <v>0</v>
      </c>
      <c r="L237" s="109"/>
      <c r="M237" s="110"/>
    </row>
    <row r="238" spans="1:13" ht="13.5">
      <c r="A238" s="901">
        <f>B5B!A69</f>
        <v>0</v>
      </c>
      <c r="B238" s="898"/>
      <c r="C238" s="400"/>
      <c r="D238" s="109"/>
      <c r="E238" s="109"/>
      <c r="F238" s="109"/>
      <c r="G238" s="109"/>
      <c r="H238" s="109"/>
      <c r="I238" s="109"/>
      <c r="J238" s="75">
        <f t="shared" si="23"/>
        <v>0</v>
      </c>
      <c r="K238" s="75">
        <f t="shared" si="24"/>
        <v>0</v>
      </c>
      <c r="L238" s="109"/>
      <c r="M238" s="110"/>
    </row>
    <row r="239" spans="1:13" ht="13.5">
      <c r="A239" s="901">
        <f>B5B!A70</f>
        <v>0</v>
      </c>
      <c r="B239" s="898"/>
      <c r="C239" s="400"/>
      <c r="D239" s="109"/>
      <c r="E239" s="109"/>
      <c r="F239" s="109"/>
      <c r="G239" s="109"/>
      <c r="H239" s="109"/>
      <c r="I239" s="109"/>
      <c r="J239" s="75">
        <f t="shared" si="23"/>
        <v>0</v>
      </c>
      <c r="K239" s="75">
        <f t="shared" si="24"/>
        <v>0</v>
      </c>
      <c r="L239" s="109"/>
      <c r="M239" s="110"/>
    </row>
    <row r="240" spans="1:13" ht="13.5">
      <c r="A240" s="901">
        <f>B5B!A71</f>
        <v>0</v>
      </c>
      <c r="B240" s="900"/>
      <c r="C240" s="400"/>
      <c r="D240" s="109"/>
      <c r="E240" s="109"/>
      <c r="F240" s="109"/>
      <c r="G240" s="109"/>
      <c r="H240" s="109"/>
      <c r="I240" s="109"/>
      <c r="J240" s="75">
        <f t="shared" si="23"/>
        <v>0</v>
      </c>
      <c r="K240" s="75">
        <f t="shared" si="24"/>
        <v>0</v>
      </c>
      <c r="L240" s="109"/>
      <c r="M240" s="110"/>
    </row>
    <row r="241" spans="1:13" ht="13.5">
      <c r="A241" s="901">
        <f>B5B!A72</f>
        <v>0</v>
      </c>
      <c r="B241" s="898"/>
      <c r="C241" s="400"/>
      <c r="D241" s="109"/>
      <c r="E241" s="109"/>
      <c r="F241" s="109"/>
      <c r="G241" s="109"/>
      <c r="H241" s="109"/>
      <c r="I241" s="109"/>
      <c r="J241" s="75">
        <f t="shared" ref="J241:J304" si="30">SUM(E241:I241)</f>
        <v>0</v>
      </c>
      <c r="K241" s="75">
        <f t="shared" ref="K241:K304" si="31">IF(D241=0,C241+J241,D241+J241)</f>
        <v>0</v>
      </c>
      <c r="L241" s="109"/>
      <c r="M241" s="110"/>
    </row>
    <row r="242" spans="1:13" ht="13.5">
      <c r="A242" s="901">
        <f>B5B!A73</f>
        <v>0</v>
      </c>
      <c r="B242" s="898"/>
      <c r="C242" s="400"/>
      <c r="D242" s="109"/>
      <c r="E242" s="109"/>
      <c r="F242" s="109"/>
      <c r="G242" s="109"/>
      <c r="H242" s="109"/>
      <c r="I242" s="109"/>
      <c r="J242" s="75">
        <f t="shared" si="30"/>
        <v>0</v>
      </c>
      <c r="K242" s="75">
        <f t="shared" si="31"/>
        <v>0</v>
      </c>
      <c r="L242" s="109"/>
      <c r="M242" s="110"/>
    </row>
    <row r="243" spans="1:13" ht="13.5">
      <c r="A243" s="899" t="str">
        <f>B5B!A74</f>
        <v>Vote 7 - Electrical Engineering Services</v>
      </c>
      <c r="B243" s="898"/>
      <c r="C243" s="761">
        <f t="shared" ref="C243:I243" si="32">SUM(C244:C253)</f>
        <v>0</v>
      </c>
      <c r="D243" s="760">
        <f t="shared" si="32"/>
        <v>0</v>
      </c>
      <c r="E243" s="760">
        <f t="shared" si="32"/>
        <v>0</v>
      </c>
      <c r="F243" s="760">
        <f t="shared" si="32"/>
        <v>0</v>
      </c>
      <c r="G243" s="760">
        <f t="shared" si="32"/>
        <v>0</v>
      </c>
      <c r="H243" s="760">
        <f t="shared" si="32"/>
        <v>0</v>
      </c>
      <c r="I243" s="760">
        <f t="shared" si="32"/>
        <v>0</v>
      </c>
      <c r="J243" s="75">
        <f t="shared" si="30"/>
        <v>0</v>
      </c>
      <c r="K243" s="75">
        <f t="shared" si="31"/>
        <v>0</v>
      </c>
      <c r="L243" s="760">
        <f>SUM(L244:L253)</f>
        <v>0</v>
      </c>
      <c r="M243" s="788">
        <f>SUM(M244:M253)</f>
        <v>0</v>
      </c>
    </row>
    <row r="244" spans="1:13" ht="13.5">
      <c r="A244" s="901" t="str">
        <f>B5B!A75</f>
        <v>7.1 - Administration Electrical Engineering</v>
      </c>
      <c r="B244" s="898"/>
      <c r="C244" s="400"/>
      <c r="D244" s="109"/>
      <c r="E244" s="109"/>
      <c r="F244" s="109"/>
      <c r="G244" s="109"/>
      <c r="H244" s="109"/>
      <c r="I244" s="109"/>
      <c r="J244" s="75">
        <f t="shared" si="30"/>
        <v>0</v>
      </c>
      <c r="K244" s="75">
        <f t="shared" si="31"/>
        <v>0</v>
      </c>
      <c r="L244" s="109"/>
      <c r="M244" s="110"/>
    </row>
    <row r="245" spans="1:13" ht="13.5">
      <c r="A245" s="901" t="str">
        <f>B5B!A76</f>
        <v>7.2 - Operations &amp; Maintenance: Rural</v>
      </c>
      <c r="B245" s="898"/>
      <c r="C245" s="400"/>
      <c r="D245" s="109"/>
      <c r="E245" s="109"/>
      <c r="F245" s="109"/>
      <c r="G245" s="109"/>
      <c r="H245" s="109"/>
      <c r="I245" s="109"/>
      <c r="J245" s="75">
        <f t="shared" si="30"/>
        <v>0</v>
      </c>
      <c r="K245" s="75">
        <f t="shared" si="31"/>
        <v>0</v>
      </c>
      <c r="L245" s="109"/>
      <c r="M245" s="110"/>
    </row>
    <row r="246" spans="1:13" ht="13.5">
      <c r="A246" s="901" t="str">
        <f>B5B!A77</f>
        <v>7.3 - Operations &amp; Maintenance: Town</v>
      </c>
      <c r="B246" s="898"/>
      <c r="C246" s="400"/>
      <c r="D246" s="109"/>
      <c r="E246" s="109"/>
      <c r="F246" s="109"/>
      <c r="G246" s="109"/>
      <c r="H246" s="109"/>
      <c r="I246" s="109"/>
      <c r="J246" s="75">
        <f t="shared" si="30"/>
        <v>0</v>
      </c>
      <c r="K246" s="75">
        <f t="shared" si="31"/>
        <v>0</v>
      </c>
      <c r="L246" s="109"/>
      <c r="M246" s="110"/>
    </row>
    <row r="247" spans="1:13" ht="13.5">
      <c r="A247" s="901">
        <f>B5B!A78</f>
        <v>0</v>
      </c>
      <c r="B247" s="898"/>
      <c r="C247" s="400"/>
      <c r="D247" s="109"/>
      <c r="E247" s="109"/>
      <c r="F247" s="109"/>
      <c r="G247" s="109"/>
      <c r="H247" s="109"/>
      <c r="I247" s="109"/>
      <c r="J247" s="75">
        <f t="shared" si="30"/>
        <v>0</v>
      </c>
      <c r="K247" s="75">
        <f t="shared" si="31"/>
        <v>0</v>
      </c>
      <c r="L247" s="109"/>
      <c r="M247" s="110"/>
    </row>
    <row r="248" spans="1:13" ht="13.5">
      <c r="A248" s="901">
        <f>B5B!A79</f>
        <v>0</v>
      </c>
      <c r="B248" s="898"/>
      <c r="C248" s="400"/>
      <c r="D248" s="109"/>
      <c r="E248" s="109"/>
      <c r="F248" s="109"/>
      <c r="G248" s="109"/>
      <c r="H248" s="109"/>
      <c r="I248" s="109"/>
      <c r="J248" s="75">
        <f t="shared" si="30"/>
        <v>0</v>
      </c>
      <c r="K248" s="75">
        <f t="shared" si="31"/>
        <v>0</v>
      </c>
      <c r="L248" s="109"/>
      <c r="M248" s="110"/>
    </row>
    <row r="249" spans="1:13" ht="13.5">
      <c r="A249" s="901">
        <f>B5B!A80</f>
        <v>0</v>
      </c>
      <c r="B249" s="898"/>
      <c r="C249" s="400"/>
      <c r="D249" s="109"/>
      <c r="E249" s="109"/>
      <c r="F249" s="109"/>
      <c r="G249" s="109"/>
      <c r="H249" s="109"/>
      <c r="I249" s="109"/>
      <c r="J249" s="75">
        <f t="shared" si="30"/>
        <v>0</v>
      </c>
      <c r="K249" s="75">
        <f t="shared" si="31"/>
        <v>0</v>
      </c>
      <c r="L249" s="109"/>
      <c r="M249" s="110"/>
    </row>
    <row r="250" spans="1:13" ht="13.5">
      <c r="A250" s="901">
        <f>B5B!A81</f>
        <v>0</v>
      </c>
      <c r="B250" s="898"/>
      <c r="C250" s="400"/>
      <c r="D250" s="109"/>
      <c r="E250" s="109"/>
      <c r="F250" s="109"/>
      <c r="G250" s="109"/>
      <c r="H250" s="109"/>
      <c r="I250" s="109"/>
      <c r="J250" s="75">
        <f t="shared" si="30"/>
        <v>0</v>
      </c>
      <c r="K250" s="75">
        <f t="shared" si="31"/>
        <v>0</v>
      </c>
      <c r="L250" s="109"/>
      <c r="M250" s="110"/>
    </row>
    <row r="251" spans="1:13" ht="13.5">
      <c r="A251" s="901">
        <f>B5B!A82</f>
        <v>0</v>
      </c>
      <c r="B251" s="898"/>
      <c r="C251" s="400"/>
      <c r="D251" s="109"/>
      <c r="E251" s="109"/>
      <c r="F251" s="109"/>
      <c r="G251" s="109"/>
      <c r="H251" s="109"/>
      <c r="I251" s="109"/>
      <c r="J251" s="75">
        <f t="shared" si="30"/>
        <v>0</v>
      </c>
      <c r="K251" s="75">
        <f t="shared" si="31"/>
        <v>0</v>
      </c>
      <c r="L251" s="109"/>
      <c r="M251" s="110"/>
    </row>
    <row r="252" spans="1:13" ht="13.5">
      <c r="A252" s="901">
        <f>B5B!A83</f>
        <v>0</v>
      </c>
      <c r="B252" s="898"/>
      <c r="C252" s="400"/>
      <c r="D252" s="109"/>
      <c r="E252" s="109"/>
      <c r="F252" s="109"/>
      <c r="G252" s="109"/>
      <c r="H252" s="109"/>
      <c r="I252" s="109"/>
      <c r="J252" s="75">
        <f t="shared" si="30"/>
        <v>0</v>
      </c>
      <c r="K252" s="75">
        <f t="shared" si="31"/>
        <v>0</v>
      </c>
      <c r="L252" s="109"/>
      <c r="M252" s="110"/>
    </row>
    <row r="253" spans="1:13" ht="13.5">
      <c r="A253" s="901">
        <f>B5B!A84</f>
        <v>0</v>
      </c>
      <c r="B253" s="898"/>
      <c r="C253" s="400"/>
      <c r="D253" s="109"/>
      <c r="E253" s="109"/>
      <c r="F253" s="109"/>
      <c r="G253" s="109"/>
      <c r="H253" s="109"/>
      <c r="I253" s="109"/>
      <c r="J253" s="75">
        <f t="shared" si="30"/>
        <v>0</v>
      </c>
      <c r="K253" s="75">
        <f t="shared" si="31"/>
        <v>0</v>
      </c>
      <c r="L253" s="109"/>
      <c r="M253" s="110"/>
    </row>
    <row r="254" spans="1:13" ht="13.5">
      <c r="A254" s="899" t="str">
        <f>B5B!A85</f>
        <v>Vote 8 - Engineering Services</v>
      </c>
      <c r="B254" s="898"/>
      <c r="C254" s="761">
        <f t="shared" ref="C254:I254" si="33">SUM(C255:C264)</f>
        <v>0</v>
      </c>
      <c r="D254" s="760">
        <f t="shared" si="33"/>
        <v>0</v>
      </c>
      <c r="E254" s="760">
        <f t="shared" si="33"/>
        <v>0</v>
      </c>
      <c r="F254" s="760">
        <f t="shared" si="33"/>
        <v>0</v>
      </c>
      <c r="G254" s="760">
        <f t="shared" si="33"/>
        <v>0</v>
      </c>
      <c r="H254" s="760">
        <f t="shared" si="33"/>
        <v>0</v>
      </c>
      <c r="I254" s="760">
        <f t="shared" si="33"/>
        <v>0</v>
      </c>
      <c r="J254" s="75">
        <f t="shared" si="30"/>
        <v>0</v>
      </c>
      <c r="K254" s="75">
        <f t="shared" si="31"/>
        <v>0</v>
      </c>
      <c r="L254" s="760">
        <f>SUM(L255:L264)</f>
        <v>0</v>
      </c>
      <c r="M254" s="788">
        <f>SUM(M255:M264)</f>
        <v>0</v>
      </c>
    </row>
    <row r="255" spans="1:13" ht="13.5">
      <c r="A255" s="901" t="str">
        <f>B5B!A86</f>
        <v>8.1 - Fleet Management</v>
      </c>
      <c r="B255" s="898"/>
      <c r="C255" s="400"/>
      <c r="D255" s="109"/>
      <c r="E255" s="109"/>
      <c r="F255" s="109"/>
      <c r="G255" s="109"/>
      <c r="H255" s="109"/>
      <c r="I255" s="109"/>
      <c r="J255" s="75">
        <f t="shared" si="30"/>
        <v>0</v>
      </c>
      <c r="K255" s="75">
        <f t="shared" si="31"/>
        <v>0</v>
      </c>
      <c r="L255" s="109"/>
      <c r="M255" s="110"/>
    </row>
    <row r="256" spans="1:13" ht="13.5">
      <c r="A256" s="901" t="str">
        <f>B5B!A87</f>
        <v>8.2 - Administration Civil Engineering</v>
      </c>
      <c r="B256" s="898"/>
      <c r="C256" s="400"/>
      <c r="D256" s="109"/>
      <c r="E256" s="109"/>
      <c r="F256" s="109"/>
      <c r="G256" s="109"/>
      <c r="H256" s="109"/>
      <c r="I256" s="109"/>
      <c r="J256" s="75">
        <f t="shared" si="30"/>
        <v>0</v>
      </c>
      <c r="K256" s="75">
        <f t="shared" si="31"/>
        <v>0</v>
      </c>
      <c r="L256" s="109"/>
      <c r="M256" s="110"/>
    </row>
    <row r="257" spans="1:13" ht="13.5">
      <c r="A257" s="901" t="str">
        <f>B5B!A88</f>
        <v>8.3 - Roads &amp; stormwater Management</v>
      </c>
      <c r="B257" s="898"/>
      <c r="C257" s="400"/>
      <c r="D257" s="109"/>
      <c r="E257" s="109"/>
      <c r="F257" s="109"/>
      <c r="G257" s="109"/>
      <c r="H257" s="109"/>
      <c r="I257" s="109"/>
      <c r="J257" s="75">
        <f t="shared" si="30"/>
        <v>0</v>
      </c>
      <c r="K257" s="75">
        <f t="shared" si="31"/>
        <v>0</v>
      </c>
      <c r="L257" s="109"/>
      <c r="M257" s="110"/>
    </row>
    <row r="258" spans="1:13" ht="13.5">
      <c r="A258" s="901" t="str">
        <f>B5B!A89</f>
        <v>8.4 - Water Networks</v>
      </c>
      <c r="B258" s="898"/>
      <c r="C258" s="400"/>
      <c r="D258" s="109"/>
      <c r="E258" s="109"/>
      <c r="F258" s="109"/>
      <c r="G258" s="109"/>
      <c r="H258" s="109"/>
      <c r="I258" s="109"/>
      <c r="J258" s="75">
        <f t="shared" si="30"/>
        <v>0</v>
      </c>
      <c r="K258" s="75">
        <f t="shared" si="31"/>
        <v>0</v>
      </c>
      <c r="L258" s="109"/>
      <c r="M258" s="110"/>
    </row>
    <row r="259" spans="1:13" ht="13.5">
      <c r="A259" s="901" t="str">
        <f>B5B!A90</f>
        <v>8.5 - Water Purification</v>
      </c>
      <c r="B259" s="898"/>
      <c r="C259" s="400"/>
      <c r="D259" s="109"/>
      <c r="E259" s="109"/>
      <c r="F259" s="109"/>
      <c r="G259" s="109"/>
      <c r="H259" s="109"/>
      <c r="I259" s="109"/>
      <c r="J259" s="75">
        <f t="shared" si="30"/>
        <v>0</v>
      </c>
      <c r="K259" s="75">
        <f t="shared" si="31"/>
        <v>0</v>
      </c>
      <c r="L259" s="109"/>
      <c r="M259" s="110"/>
    </row>
    <row r="260" spans="1:13" ht="13.5">
      <c r="A260" s="901" t="str">
        <f>B5B!A91</f>
        <v>8.6 - Building &amp; Housing</v>
      </c>
      <c r="B260" s="898"/>
      <c r="C260" s="400"/>
      <c r="D260" s="109"/>
      <c r="E260" s="109"/>
      <c r="F260" s="109"/>
      <c r="G260" s="109"/>
      <c r="H260" s="109"/>
      <c r="I260" s="109"/>
      <c r="J260" s="75">
        <f t="shared" si="30"/>
        <v>0</v>
      </c>
      <c r="K260" s="75">
        <f t="shared" si="31"/>
        <v>0</v>
      </c>
      <c r="L260" s="109"/>
      <c r="M260" s="110"/>
    </row>
    <row r="261" spans="1:13" ht="13.5">
      <c r="A261" s="901" t="str">
        <f>B5B!A92</f>
        <v>8.7 - Project Management</v>
      </c>
      <c r="B261" s="898"/>
      <c r="C261" s="400"/>
      <c r="D261" s="109"/>
      <c r="E261" s="109"/>
      <c r="F261" s="109"/>
      <c r="G261" s="109"/>
      <c r="H261" s="109"/>
      <c r="I261" s="109"/>
      <c r="J261" s="75">
        <f t="shared" si="30"/>
        <v>0</v>
      </c>
      <c r="K261" s="75">
        <f t="shared" si="31"/>
        <v>0</v>
      </c>
      <c r="L261" s="109"/>
      <c r="M261" s="110"/>
    </row>
    <row r="262" spans="1:13" ht="13.5">
      <c r="A262" s="901" t="str">
        <f>B5B!A93</f>
        <v>8.8 - Sewerage Purification</v>
      </c>
      <c r="B262" s="898"/>
      <c r="C262" s="400"/>
      <c r="D262" s="109"/>
      <c r="E262" s="109"/>
      <c r="F262" s="109"/>
      <c r="G262" s="109"/>
      <c r="H262" s="109"/>
      <c r="I262" s="109"/>
      <c r="J262" s="75">
        <f t="shared" si="30"/>
        <v>0</v>
      </c>
      <c r="K262" s="75">
        <f t="shared" si="31"/>
        <v>0</v>
      </c>
      <c r="L262" s="109"/>
      <c r="M262" s="110"/>
    </row>
    <row r="263" spans="1:13" ht="13.5">
      <c r="A263" s="901">
        <f>B5B!A94</f>
        <v>0</v>
      </c>
      <c r="B263" s="898"/>
      <c r="C263" s="400"/>
      <c r="D263" s="109"/>
      <c r="E263" s="109"/>
      <c r="F263" s="109"/>
      <c r="G263" s="109"/>
      <c r="H263" s="109"/>
      <c r="I263" s="109"/>
      <c r="J263" s="75">
        <f t="shared" si="30"/>
        <v>0</v>
      </c>
      <c r="K263" s="75">
        <f t="shared" si="31"/>
        <v>0</v>
      </c>
      <c r="L263" s="109"/>
      <c r="M263" s="110"/>
    </row>
    <row r="264" spans="1:13" ht="13.5">
      <c r="A264" s="901">
        <f>B5B!A95</f>
        <v>0</v>
      </c>
      <c r="B264" s="898"/>
      <c r="C264" s="400"/>
      <c r="D264" s="109"/>
      <c r="E264" s="109"/>
      <c r="F264" s="109"/>
      <c r="G264" s="109"/>
      <c r="H264" s="109"/>
      <c r="I264" s="109"/>
      <c r="J264" s="75">
        <f t="shared" si="30"/>
        <v>0</v>
      </c>
      <c r="K264" s="75">
        <f t="shared" si="31"/>
        <v>0</v>
      </c>
      <c r="L264" s="109"/>
      <c r="M264" s="110"/>
    </row>
    <row r="265" spans="1:13" ht="13.5">
      <c r="A265" s="899" t="str">
        <f>B5B!A96</f>
        <v>Vote 9 - [NAME OF VOTE 9]</v>
      </c>
      <c r="B265" s="898"/>
      <c r="C265" s="761">
        <f t="shared" ref="C265:I265" si="34">SUM(C266:C275)</f>
        <v>0</v>
      </c>
      <c r="D265" s="760">
        <f t="shared" si="34"/>
        <v>0</v>
      </c>
      <c r="E265" s="760">
        <f t="shared" si="34"/>
        <v>0</v>
      </c>
      <c r="F265" s="760">
        <f t="shared" si="34"/>
        <v>0</v>
      </c>
      <c r="G265" s="760">
        <f t="shared" si="34"/>
        <v>0</v>
      </c>
      <c r="H265" s="760">
        <f t="shared" si="34"/>
        <v>0</v>
      </c>
      <c r="I265" s="760">
        <f t="shared" si="34"/>
        <v>0</v>
      </c>
      <c r="J265" s="75">
        <f t="shared" si="30"/>
        <v>0</v>
      </c>
      <c r="K265" s="75">
        <f t="shared" si="31"/>
        <v>0</v>
      </c>
      <c r="L265" s="760">
        <f>SUM(L266:L275)</f>
        <v>0</v>
      </c>
      <c r="M265" s="788">
        <f>SUM(M266:M275)</f>
        <v>0</v>
      </c>
    </row>
    <row r="266" spans="1:13" ht="13.5">
      <c r="A266" s="901" t="str">
        <f>B5B!A97</f>
        <v>9.1 - [Name of sub-vote]</v>
      </c>
      <c r="B266" s="898"/>
      <c r="C266" s="400"/>
      <c r="D266" s="109"/>
      <c r="E266" s="109"/>
      <c r="F266" s="109"/>
      <c r="G266" s="109"/>
      <c r="H266" s="109"/>
      <c r="I266" s="109"/>
      <c r="J266" s="75">
        <f t="shared" si="30"/>
        <v>0</v>
      </c>
      <c r="K266" s="75">
        <f t="shared" si="31"/>
        <v>0</v>
      </c>
      <c r="L266" s="109"/>
      <c r="M266" s="110"/>
    </row>
    <row r="267" spans="1:13" ht="13.5">
      <c r="A267" s="901">
        <f>B5B!A98</f>
        <v>0</v>
      </c>
      <c r="B267" s="898"/>
      <c r="C267" s="400"/>
      <c r="D267" s="109"/>
      <c r="E267" s="109"/>
      <c r="F267" s="109"/>
      <c r="G267" s="109"/>
      <c r="H267" s="109"/>
      <c r="I267" s="109"/>
      <c r="J267" s="75">
        <f t="shared" si="30"/>
        <v>0</v>
      </c>
      <c r="K267" s="75">
        <f t="shared" si="31"/>
        <v>0</v>
      </c>
      <c r="L267" s="109"/>
      <c r="M267" s="110"/>
    </row>
    <row r="268" spans="1:13" ht="13.5">
      <c r="A268" s="901">
        <f>B5B!A99</f>
        <v>0</v>
      </c>
      <c r="B268" s="898"/>
      <c r="C268" s="400"/>
      <c r="D268" s="109"/>
      <c r="E268" s="109"/>
      <c r="F268" s="109"/>
      <c r="G268" s="109"/>
      <c r="H268" s="109"/>
      <c r="I268" s="109"/>
      <c r="J268" s="75">
        <f t="shared" si="30"/>
        <v>0</v>
      </c>
      <c r="K268" s="75">
        <f t="shared" si="31"/>
        <v>0</v>
      </c>
      <c r="L268" s="109"/>
      <c r="M268" s="110"/>
    </row>
    <row r="269" spans="1:13" ht="13.5">
      <c r="A269" s="901">
        <f>B5B!A100</f>
        <v>0</v>
      </c>
      <c r="B269" s="898"/>
      <c r="C269" s="400"/>
      <c r="D269" s="109"/>
      <c r="E269" s="109"/>
      <c r="F269" s="109"/>
      <c r="G269" s="109"/>
      <c r="H269" s="109"/>
      <c r="I269" s="109"/>
      <c r="J269" s="75">
        <f t="shared" si="30"/>
        <v>0</v>
      </c>
      <c r="K269" s="75">
        <f t="shared" si="31"/>
        <v>0</v>
      </c>
      <c r="L269" s="109"/>
      <c r="M269" s="110"/>
    </row>
    <row r="270" spans="1:13" ht="13.5">
      <c r="A270" s="901">
        <f>B5B!A101</f>
        <v>0</v>
      </c>
      <c r="B270" s="898"/>
      <c r="C270" s="400"/>
      <c r="D270" s="109"/>
      <c r="E270" s="109"/>
      <c r="F270" s="109"/>
      <c r="G270" s="109"/>
      <c r="H270" s="109"/>
      <c r="I270" s="109"/>
      <c r="J270" s="75">
        <f t="shared" si="30"/>
        <v>0</v>
      </c>
      <c r="K270" s="75">
        <f t="shared" si="31"/>
        <v>0</v>
      </c>
      <c r="L270" s="109"/>
      <c r="M270" s="110"/>
    </row>
    <row r="271" spans="1:13" ht="13.5">
      <c r="A271" s="901">
        <f>B5B!A102</f>
        <v>0</v>
      </c>
      <c r="B271" s="898"/>
      <c r="C271" s="400"/>
      <c r="D271" s="109"/>
      <c r="E271" s="109"/>
      <c r="F271" s="109"/>
      <c r="G271" s="109"/>
      <c r="H271" s="109"/>
      <c r="I271" s="109"/>
      <c r="J271" s="75">
        <f t="shared" si="30"/>
        <v>0</v>
      </c>
      <c r="K271" s="75">
        <f t="shared" si="31"/>
        <v>0</v>
      </c>
      <c r="L271" s="109"/>
      <c r="M271" s="110"/>
    </row>
    <row r="272" spans="1:13" ht="13.5">
      <c r="A272" s="901">
        <f>B5B!A103</f>
        <v>0</v>
      </c>
      <c r="B272" s="898"/>
      <c r="C272" s="400"/>
      <c r="D272" s="109"/>
      <c r="E272" s="109"/>
      <c r="F272" s="109"/>
      <c r="G272" s="109"/>
      <c r="H272" s="109"/>
      <c r="I272" s="109"/>
      <c r="J272" s="75">
        <f t="shared" si="30"/>
        <v>0</v>
      </c>
      <c r="K272" s="75">
        <f t="shared" si="31"/>
        <v>0</v>
      </c>
      <c r="L272" s="109"/>
      <c r="M272" s="110"/>
    </row>
    <row r="273" spans="1:13" ht="13.5">
      <c r="A273" s="901">
        <f>B5B!A104</f>
        <v>0</v>
      </c>
      <c r="B273" s="898"/>
      <c r="C273" s="400"/>
      <c r="D273" s="109"/>
      <c r="E273" s="109"/>
      <c r="F273" s="109"/>
      <c r="G273" s="109"/>
      <c r="H273" s="109"/>
      <c r="I273" s="109"/>
      <c r="J273" s="75">
        <f t="shared" si="30"/>
        <v>0</v>
      </c>
      <c r="K273" s="75">
        <f t="shared" si="31"/>
        <v>0</v>
      </c>
      <c r="L273" s="109"/>
      <c r="M273" s="110"/>
    </row>
    <row r="274" spans="1:13" ht="13.5">
      <c r="A274" s="901">
        <f>B5B!A105</f>
        <v>0</v>
      </c>
      <c r="B274" s="898"/>
      <c r="C274" s="400"/>
      <c r="D274" s="109"/>
      <c r="E274" s="109"/>
      <c r="F274" s="109"/>
      <c r="G274" s="109"/>
      <c r="H274" s="109"/>
      <c r="I274" s="109"/>
      <c r="J274" s="75">
        <f t="shared" si="30"/>
        <v>0</v>
      </c>
      <c r="K274" s="75">
        <f t="shared" si="31"/>
        <v>0</v>
      </c>
      <c r="L274" s="109"/>
      <c r="M274" s="110"/>
    </row>
    <row r="275" spans="1:13" ht="13.5">
      <c r="A275" s="901">
        <f>B5B!A106</f>
        <v>0</v>
      </c>
      <c r="B275" s="898"/>
      <c r="C275" s="400"/>
      <c r="D275" s="109"/>
      <c r="E275" s="109"/>
      <c r="F275" s="109"/>
      <c r="G275" s="109"/>
      <c r="H275" s="109"/>
      <c r="I275" s="109"/>
      <c r="J275" s="75">
        <f t="shared" si="30"/>
        <v>0</v>
      </c>
      <c r="K275" s="75">
        <f t="shared" si="31"/>
        <v>0</v>
      </c>
      <c r="L275" s="109"/>
      <c r="M275" s="110"/>
    </row>
    <row r="276" spans="1:13" ht="13.5">
      <c r="A276" s="899" t="str">
        <f>B5B!A107</f>
        <v>Vote 10 - [NAME OF VOTE 10]</v>
      </c>
      <c r="B276" s="898"/>
      <c r="C276" s="761">
        <f t="shared" ref="C276:I276" si="35">SUM(C277:C286)</f>
        <v>0</v>
      </c>
      <c r="D276" s="760">
        <f t="shared" si="35"/>
        <v>0</v>
      </c>
      <c r="E276" s="760">
        <f t="shared" si="35"/>
        <v>0</v>
      </c>
      <c r="F276" s="760">
        <f t="shared" si="35"/>
        <v>0</v>
      </c>
      <c r="G276" s="760">
        <f t="shared" si="35"/>
        <v>0</v>
      </c>
      <c r="H276" s="760">
        <f t="shared" si="35"/>
        <v>0</v>
      </c>
      <c r="I276" s="760">
        <f t="shared" si="35"/>
        <v>0</v>
      </c>
      <c r="J276" s="75">
        <f t="shared" si="30"/>
        <v>0</v>
      </c>
      <c r="K276" s="75">
        <f t="shared" si="31"/>
        <v>0</v>
      </c>
      <c r="L276" s="760">
        <f>SUM(L277:L286)</f>
        <v>0</v>
      </c>
      <c r="M276" s="788">
        <f>SUM(M277:M286)</f>
        <v>0</v>
      </c>
    </row>
    <row r="277" spans="1:13" ht="13.5">
      <c r="A277" s="901" t="str">
        <f>B5B!A108</f>
        <v>10.1 - [Name of sub-vote]</v>
      </c>
      <c r="B277" s="898"/>
      <c r="C277" s="400"/>
      <c r="D277" s="109"/>
      <c r="E277" s="109"/>
      <c r="F277" s="109"/>
      <c r="G277" s="109"/>
      <c r="H277" s="109"/>
      <c r="I277" s="109"/>
      <c r="J277" s="75">
        <f t="shared" si="30"/>
        <v>0</v>
      </c>
      <c r="K277" s="75">
        <f t="shared" si="31"/>
        <v>0</v>
      </c>
      <c r="L277" s="109"/>
      <c r="M277" s="110"/>
    </row>
    <row r="278" spans="1:13" ht="13.5">
      <c r="A278" s="901">
        <f>B5B!A109</f>
        <v>0</v>
      </c>
      <c r="B278" s="898"/>
      <c r="C278" s="400"/>
      <c r="D278" s="109"/>
      <c r="E278" s="109"/>
      <c r="F278" s="109"/>
      <c r="G278" s="109"/>
      <c r="H278" s="109"/>
      <c r="I278" s="109"/>
      <c r="J278" s="75">
        <f t="shared" si="30"/>
        <v>0</v>
      </c>
      <c r="K278" s="75">
        <f t="shared" si="31"/>
        <v>0</v>
      </c>
      <c r="L278" s="109"/>
      <c r="M278" s="110"/>
    </row>
    <row r="279" spans="1:13" ht="13.5">
      <c r="A279" s="901">
        <f>B5B!A110</f>
        <v>0</v>
      </c>
      <c r="B279" s="898"/>
      <c r="C279" s="400"/>
      <c r="D279" s="109"/>
      <c r="E279" s="109"/>
      <c r="F279" s="109"/>
      <c r="G279" s="109"/>
      <c r="H279" s="109"/>
      <c r="I279" s="109"/>
      <c r="J279" s="75">
        <f t="shared" si="30"/>
        <v>0</v>
      </c>
      <c r="K279" s="75">
        <f t="shared" si="31"/>
        <v>0</v>
      </c>
      <c r="L279" s="109"/>
      <c r="M279" s="110"/>
    </row>
    <row r="280" spans="1:13" ht="13.5">
      <c r="A280" s="901">
        <f>B5B!A111</f>
        <v>0</v>
      </c>
      <c r="B280" s="898"/>
      <c r="C280" s="400"/>
      <c r="D280" s="109"/>
      <c r="E280" s="109"/>
      <c r="F280" s="109"/>
      <c r="G280" s="109"/>
      <c r="H280" s="109"/>
      <c r="I280" s="109"/>
      <c r="J280" s="75">
        <f t="shared" si="30"/>
        <v>0</v>
      </c>
      <c r="K280" s="75">
        <f t="shared" si="31"/>
        <v>0</v>
      </c>
      <c r="L280" s="109"/>
      <c r="M280" s="110"/>
    </row>
    <row r="281" spans="1:13" ht="13.5">
      <c r="A281" s="901">
        <f>B5B!A112</f>
        <v>0</v>
      </c>
      <c r="B281" s="898"/>
      <c r="C281" s="400"/>
      <c r="D281" s="109"/>
      <c r="E281" s="109"/>
      <c r="F281" s="109"/>
      <c r="G281" s="109"/>
      <c r="H281" s="109"/>
      <c r="I281" s="109"/>
      <c r="J281" s="75">
        <f t="shared" si="30"/>
        <v>0</v>
      </c>
      <c r="K281" s="75">
        <f t="shared" si="31"/>
        <v>0</v>
      </c>
      <c r="L281" s="109"/>
      <c r="M281" s="110"/>
    </row>
    <row r="282" spans="1:13" ht="13.5">
      <c r="A282" s="901">
        <f>B5B!A113</f>
        <v>0</v>
      </c>
      <c r="B282" s="898"/>
      <c r="C282" s="400"/>
      <c r="D282" s="109"/>
      <c r="E282" s="109"/>
      <c r="F282" s="109"/>
      <c r="G282" s="109"/>
      <c r="H282" s="109"/>
      <c r="I282" s="109"/>
      <c r="J282" s="75">
        <f t="shared" si="30"/>
        <v>0</v>
      </c>
      <c r="K282" s="75">
        <f t="shared" si="31"/>
        <v>0</v>
      </c>
      <c r="L282" s="109"/>
      <c r="M282" s="110"/>
    </row>
    <row r="283" spans="1:13" ht="13.5">
      <c r="A283" s="901">
        <f>B5B!A114</f>
        <v>0</v>
      </c>
      <c r="B283" s="898"/>
      <c r="C283" s="400"/>
      <c r="D283" s="109"/>
      <c r="E283" s="109"/>
      <c r="F283" s="109"/>
      <c r="G283" s="109"/>
      <c r="H283" s="109"/>
      <c r="I283" s="109"/>
      <c r="J283" s="75">
        <f t="shared" si="30"/>
        <v>0</v>
      </c>
      <c r="K283" s="75">
        <f t="shared" si="31"/>
        <v>0</v>
      </c>
      <c r="L283" s="109"/>
      <c r="M283" s="110"/>
    </row>
    <row r="284" spans="1:13" ht="13.5">
      <c r="A284" s="901">
        <f>B5B!A115</f>
        <v>0</v>
      </c>
      <c r="B284" s="898"/>
      <c r="C284" s="400"/>
      <c r="D284" s="109"/>
      <c r="E284" s="109"/>
      <c r="F284" s="109"/>
      <c r="G284" s="109"/>
      <c r="H284" s="109"/>
      <c r="I284" s="109"/>
      <c r="J284" s="75">
        <f t="shared" si="30"/>
        <v>0</v>
      </c>
      <c r="K284" s="75">
        <f t="shared" si="31"/>
        <v>0</v>
      </c>
      <c r="L284" s="109"/>
      <c r="M284" s="110"/>
    </row>
    <row r="285" spans="1:13" ht="13.5">
      <c r="A285" s="901">
        <f>B5B!A116</f>
        <v>0</v>
      </c>
      <c r="B285" s="898"/>
      <c r="C285" s="400"/>
      <c r="D285" s="109"/>
      <c r="E285" s="109"/>
      <c r="F285" s="109"/>
      <c r="G285" s="109"/>
      <c r="H285" s="109"/>
      <c r="I285" s="109"/>
      <c r="J285" s="75">
        <f t="shared" si="30"/>
        <v>0</v>
      </c>
      <c r="K285" s="75">
        <f t="shared" si="31"/>
        <v>0</v>
      </c>
      <c r="L285" s="109"/>
      <c r="M285" s="110"/>
    </row>
    <row r="286" spans="1:13" ht="13.5">
      <c r="A286" s="901">
        <f>B5B!A117</f>
        <v>0</v>
      </c>
      <c r="B286" s="898"/>
      <c r="C286" s="400"/>
      <c r="D286" s="109"/>
      <c r="E286" s="109"/>
      <c r="F286" s="109"/>
      <c r="G286" s="109"/>
      <c r="H286" s="109"/>
      <c r="I286" s="109"/>
      <c r="J286" s="75">
        <f t="shared" si="30"/>
        <v>0</v>
      </c>
      <c r="K286" s="75">
        <f t="shared" si="31"/>
        <v>0</v>
      </c>
      <c r="L286" s="109"/>
      <c r="M286" s="110"/>
    </row>
    <row r="287" spans="1:13" ht="13.5">
      <c r="A287" s="899" t="str">
        <f>B5B!A118</f>
        <v>Vote 11 - [NAME OF VOTE 11]</v>
      </c>
      <c r="B287" s="898"/>
      <c r="C287" s="761">
        <f t="shared" ref="C287:I287" si="36">SUM(C288:C297)</f>
        <v>0</v>
      </c>
      <c r="D287" s="760">
        <f t="shared" si="36"/>
        <v>0</v>
      </c>
      <c r="E287" s="760">
        <f t="shared" si="36"/>
        <v>0</v>
      </c>
      <c r="F287" s="760">
        <f t="shared" si="36"/>
        <v>0</v>
      </c>
      <c r="G287" s="760">
        <f t="shared" si="36"/>
        <v>0</v>
      </c>
      <c r="H287" s="760">
        <f t="shared" si="36"/>
        <v>0</v>
      </c>
      <c r="I287" s="760">
        <f t="shared" si="36"/>
        <v>0</v>
      </c>
      <c r="J287" s="75">
        <f t="shared" si="30"/>
        <v>0</v>
      </c>
      <c r="K287" s="75">
        <f t="shared" si="31"/>
        <v>0</v>
      </c>
      <c r="L287" s="760">
        <f>SUM(L288:L297)</f>
        <v>0</v>
      </c>
      <c r="M287" s="788">
        <f>SUM(M288:M297)</f>
        <v>0</v>
      </c>
    </row>
    <row r="288" spans="1:13" ht="13.5">
      <c r="A288" s="901" t="str">
        <f>B5B!A119</f>
        <v>11.1 - [Name of sub-vote]</v>
      </c>
      <c r="B288" s="898"/>
      <c r="C288" s="400"/>
      <c r="D288" s="109"/>
      <c r="E288" s="109"/>
      <c r="F288" s="109"/>
      <c r="G288" s="109"/>
      <c r="H288" s="109"/>
      <c r="I288" s="109"/>
      <c r="J288" s="75">
        <f t="shared" si="30"/>
        <v>0</v>
      </c>
      <c r="K288" s="75">
        <f t="shared" si="31"/>
        <v>0</v>
      </c>
      <c r="L288" s="109"/>
      <c r="M288" s="110"/>
    </row>
    <row r="289" spans="1:13" ht="13.5">
      <c r="A289" s="901">
        <f>B5B!A120</f>
        <v>0</v>
      </c>
      <c r="B289" s="898"/>
      <c r="C289" s="400"/>
      <c r="D289" s="109"/>
      <c r="E289" s="109"/>
      <c r="F289" s="109"/>
      <c r="G289" s="109"/>
      <c r="H289" s="109"/>
      <c r="I289" s="109"/>
      <c r="J289" s="75">
        <f t="shared" si="30"/>
        <v>0</v>
      </c>
      <c r="K289" s="75">
        <f t="shared" si="31"/>
        <v>0</v>
      </c>
      <c r="L289" s="109"/>
      <c r="M289" s="110"/>
    </row>
    <row r="290" spans="1:13" ht="13.5">
      <c r="A290" s="901">
        <f>B5B!A121</f>
        <v>0</v>
      </c>
      <c r="B290" s="898"/>
      <c r="C290" s="400"/>
      <c r="D290" s="109"/>
      <c r="E290" s="109"/>
      <c r="F290" s="109"/>
      <c r="G290" s="109"/>
      <c r="H290" s="109"/>
      <c r="I290" s="109"/>
      <c r="J290" s="75">
        <f t="shared" si="30"/>
        <v>0</v>
      </c>
      <c r="K290" s="75">
        <f t="shared" si="31"/>
        <v>0</v>
      </c>
      <c r="L290" s="109"/>
      <c r="M290" s="110"/>
    </row>
    <row r="291" spans="1:13" ht="13.5">
      <c r="A291" s="901">
        <f>B5B!A122</f>
        <v>0</v>
      </c>
      <c r="B291" s="898"/>
      <c r="C291" s="400"/>
      <c r="D291" s="109"/>
      <c r="E291" s="109"/>
      <c r="F291" s="109"/>
      <c r="G291" s="109"/>
      <c r="H291" s="109"/>
      <c r="I291" s="109"/>
      <c r="J291" s="75">
        <f t="shared" si="30"/>
        <v>0</v>
      </c>
      <c r="K291" s="75">
        <f t="shared" si="31"/>
        <v>0</v>
      </c>
      <c r="L291" s="109"/>
      <c r="M291" s="110"/>
    </row>
    <row r="292" spans="1:13" ht="13.5">
      <c r="A292" s="901">
        <f>B5B!A123</f>
        <v>0</v>
      </c>
      <c r="B292" s="898"/>
      <c r="C292" s="400"/>
      <c r="D292" s="109"/>
      <c r="E292" s="109"/>
      <c r="F292" s="109"/>
      <c r="G292" s="109"/>
      <c r="H292" s="109"/>
      <c r="I292" s="109"/>
      <c r="J292" s="75">
        <f t="shared" si="30"/>
        <v>0</v>
      </c>
      <c r="K292" s="75">
        <f t="shared" si="31"/>
        <v>0</v>
      </c>
      <c r="L292" s="109"/>
      <c r="M292" s="110"/>
    </row>
    <row r="293" spans="1:13" ht="13.5">
      <c r="A293" s="901">
        <f>B5B!A124</f>
        <v>0</v>
      </c>
      <c r="B293" s="898"/>
      <c r="C293" s="400"/>
      <c r="D293" s="109"/>
      <c r="E293" s="109"/>
      <c r="F293" s="109"/>
      <c r="G293" s="109"/>
      <c r="H293" s="109"/>
      <c r="I293" s="109"/>
      <c r="J293" s="75">
        <f t="shared" si="30"/>
        <v>0</v>
      </c>
      <c r="K293" s="75">
        <f t="shared" si="31"/>
        <v>0</v>
      </c>
      <c r="L293" s="109"/>
      <c r="M293" s="110"/>
    </row>
    <row r="294" spans="1:13" ht="13.5">
      <c r="A294" s="901">
        <f>B5B!A125</f>
        <v>0</v>
      </c>
      <c r="B294" s="898"/>
      <c r="C294" s="400"/>
      <c r="D294" s="109"/>
      <c r="E294" s="109"/>
      <c r="F294" s="109"/>
      <c r="G294" s="109"/>
      <c r="H294" s="109"/>
      <c r="I294" s="109"/>
      <c r="J294" s="75">
        <f t="shared" si="30"/>
        <v>0</v>
      </c>
      <c r="K294" s="75">
        <f t="shared" si="31"/>
        <v>0</v>
      </c>
      <c r="L294" s="109"/>
      <c r="M294" s="110"/>
    </row>
    <row r="295" spans="1:13" ht="13.5">
      <c r="A295" s="901">
        <f>B5B!A126</f>
        <v>0</v>
      </c>
      <c r="B295" s="898"/>
      <c r="C295" s="400"/>
      <c r="D295" s="109"/>
      <c r="E295" s="109"/>
      <c r="F295" s="109"/>
      <c r="G295" s="109"/>
      <c r="H295" s="109"/>
      <c r="I295" s="109"/>
      <c r="J295" s="75">
        <f t="shared" si="30"/>
        <v>0</v>
      </c>
      <c r="K295" s="75">
        <f t="shared" si="31"/>
        <v>0</v>
      </c>
      <c r="L295" s="109"/>
      <c r="M295" s="110"/>
    </row>
    <row r="296" spans="1:13" ht="13.5">
      <c r="A296" s="901">
        <f>B5B!A127</f>
        <v>0</v>
      </c>
      <c r="B296" s="898"/>
      <c r="C296" s="400"/>
      <c r="D296" s="109"/>
      <c r="E296" s="109"/>
      <c r="F296" s="109"/>
      <c r="G296" s="109"/>
      <c r="H296" s="109"/>
      <c r="I296" s="109"/>
      <c r="J296" s="75">
        <f t="shared" si="30"/>
        <v>0</v>
      </c>
      <c r="K296" s="75">
        <f t="shared" si="31"/>
        <v>0</v>
      </c>
      <c r="L296" s="109"/>
      <c r="M296" s="110"/>
    </row>
    <row r="297" spans="1:13" ht="13.5">
      <c r="A297" s="901">
        <f>B5B!A128</f>
        <v>0</v>
      </c>
      <c r="B297" s="898"/>
      <c r="C297" s="400"/>
      <c r="D297" s="109"/>
      <c r="E297" s="109"/>
      <c r="F297" s="109"/>
      <c r="G297" s="109"/>
      <c r="H297" s="109"/>
      <c r="I297" s="109"/>
      <c r="J297" s="75">
        <f t="shared" si="30"/>
        <v>0</v>
      </c>
      <c r="K297" s="75">
        <f t="shared" si="31"/>
        <v>0</v>
      </c>
      <c r="L297" s="109"/>
      <c r="M297" s="110"/>
    </row>
    <row r="298" spans="1:13" ht="13.5">
      <c r="A298" s="899" t="str">
        <f>B5B!A129</f>
        <v>Vote 12 - [NAME OF VOTE 12]</v>
      </c>
      <c r="B298" s="898"/>
      <c r="C298" s="761">
        <f t="shared" ref="C298:I298" si="37">SUM(C299:C308)</f>
        <v>0</v>
      </c>
      <c r="D298" s="760">
        <f t="shared" si="37"/>
        <v>0</v>
      </c>
      <c r="E298" s="760">
        <f t="shared" si="37"/>
        <v>0</v>
      </c>
      <c r="F298" s="760">
        <f t="shared" si="37"/>
        <v>0</v>
      </c>
      <c r="G298" s="760">
        <f t="shared" si="37"/>
        <v>0</v>
      </c>
      <c r="H298" s="760">
        <f t="shared" si="37"/>
        <v>0</v>
      </c>
      <c r="I298" s="760">
        <f t="shared" si="37"/>
        <v>0</v>
      </c>
      <c r="J298" s="75">
        <f t="shared" si="30"/>
        <v>0</v>
      </c>
      <c r="K298" s="75">
        <f t="shared" si="31"/>
        <v>0</v>
      </c>
      <c r="L298" s="760">
        <f>SUM(L299:L308)</f>
        <v>0</v>
      </c>
      <c r="M298" s="788">
        <f>SUM(M299:M308)</f>
        <v>0</v>
      </c>
    </row>
    <row r="299" spans="1:13" ht="13.5">
      <c r="A299" s="901" t="str">
        <f>B5B!A130</f>
        <v>12.1 - [Name of sub-vote]</v>
      </c>
      <c r="B299" s="898"/>
      <c r="C299" s="400"/>
      <c r="D299" s="109"/>
      <c r="E299" s="109"/>
      <c r="F299" s="109"/>
      <c r="G299" s="109"/>
      <c r="H299" s="109"/>
      <c r="I299" s="109"/>
      <c r="J299" s="75">
        <f t="shared" si="30"/>
        <v>0</v>
      </c>
      <c r="K299" s="75">
        <f t="shared" si="31"/>
        <v>0</v>
      </c>
      <c r="L299" s="109"/>
      <c r="M299" s="110"/>
    </row>
    <row r="300" spans="1:13" ht="13.5">
      <c r="A300" s="901">
        <f>B5B!A131</f>
        <v>0</v>
      </c>
      <c r="B300" s="898"/>
      <c r="C300" s="400"/>
      <c r="D300" s="109"/>
      <c r="E300" s="109"/>
      <c r="F300" s="109"/>
      <c r="G300" s="109"/>
      <c r="H300" s="109"/>
      <c r="I300" s="109"/>
      <c r="J300" s="75">
        <f t="shared" si="30"/>
        <v>0</v>
      </c>
      <c r="K300" s="75">
        <f t="shared" si="31"/>
        <v>0</v>
      </c>
      <c r="L300" s="109"/>
      <c r="M300" s="110"/>
    </row>
    <row r="301" spans="1:13" ht="13.5">
      <c r="A301" s="901">
        <f>B5B!A132</f>
        <v>0</v>
      </c>
      <c r="B301" s="898"/>
      <c r="C301" s="400"/>
      <c r="D301" s="109"/>
      <c r="E301" s="109"/>
      <c r="F301" s="109"/>
      <c r="G301" s="109"/>
      <c r="H301" s="109"/>
      <c r="I301" s="109"/>
      <c r="J301" s="75">
        <f t="shared" si="30"/>
        <v>0</v>
      </c>
      <c r="K301" s="75">
        <f t="shared" si="31"/>
        <v>0</v>
      </c>
      <c r="L301" s="109"/>
      <c r="M301" s="110"/>
    </row>
    <row r="302" spans="1:13" ht="13.5">
      <c r="A302" s="901">
        <f>B5B!A133</f>
        <v>0</v>
      </c>
      <c r="B302" s="898"/>
      <c r="C302" s="400"/>
      <c r="D302" s="109"/>
      <c r="E302" s="109"/>
      <c r="F302" s="109"/>
      <c r="G302" s="109"/>
      <c r="H302" s="109"/>
      <c r="I302" s="109"/>
      <c r="J302" s="75">
        <f t="shared" si="30"/>
        <v>0</v>
      </c>
      <c r="K302" s="75">
        <f t="shared" si="31"/>
        <v>0</v>
      </c>
      <c r="L302" s="109"/>
      <c r="M302" s="110"/>
    </row>
    <row r="303" spans="1:13" ht="13.5">
      <c r="A303" s="901">
        <f>B5B!A134</f>
        <v>0</v>
      </c>
      <c r="B303" s="898"/>
      <c r="C303" s="400"/>
      <c r="D303" s="109"/>
      <c r="E303" s="109"/>
      <c r="F303" s="109"/>
      <c r="G303" s="109"/>
      <c r="H303" s="109"/>
      <c r="I303" s="109"/>
      <c r="J303" s="75">
        <f t="shared" si="30"/>
        <v>0</v>
      </c>
      <c r="K303" s="75">
        <f t="shared" si="31"/>
        <v>0</v>
      </c>
      <c r="L303" s="109"/>
      <c r="M303" s="110"/>
    </row>
    <row r="304" spans="1:13" ht="13.5">
      <c r="A304" s="901">
        <f>B5B!A135</f>
        <v>0</v>
      </c>
      <c r="B304" s="898"/>
      <c r="C304" s="400"/>
      <c r="D304" s="109"/>
      <c r="E304" s="109"/>
      <c r="F304" s="109"/>
      <c r="G304" s="109"/>
      <c r="H304" s="109"/>
      <c r="I304" s="109"/>
      <c r="J304" s="75">
        <f t="shared" si="30"/>
        <v>0</v>
      </c>
      <c r="K304" s="75">
        <f t="shared" si="31"/>
        <v>0</v>
      </c>
      <c r="L304" s="109"/>
      <c r="M304" s="110"/>
    </row>
    <row r="305" spans="1:13" ht="13.5">
      <c r="A305" s="901">
        <f>B5B!A136</f>
        <v>0</v>
      </c>
      <c r="B305" s="898"/>
      <c r="C305" s="400"/>
      <c r="D305" s="109"/>
      <c r="E305" s="109"/>
      <c r="F305" s="109"/>
      <c r="G305" s="109"/>
      <c r="H305" s="109"/>
      <c r="I305" s="109"/>
      <c r="J305" s="75">
        <f t="shared" ref="J305:J342" si="38">SUM(E305:I305)</f>
        <v>0</v>
      </c>
      <c r="K305" s="75">
        <f t="shared" ref="K305:K342" si="39">IF(D305=0,C305+J305,D305+J305)</f>
        <v>0</v>
      </c>
      <c r="L305" s="109"/>
      <c r="M305" s="110"/>
    </row>
    <row r="306" spans="1:13" ht="13.5">
      <c r="A306" s="901">
        <f>B5B!A137</f>
        <v>0</v>
      </c>
      <c r="B306" s="898"/>
      <c r="C306" s="400"/>
      <c r="D306" s="109"/>
      <c r="E306" s="109"/>
      <c r="F306" s="109"/>
      <c r="G306" s="109"/>
      <c r="H306" s="109"/>
      <c r="I306" s="109"/>
      <c r="J306" s="75">
        <f t="shared" si="38"/>
        <v>0</v>
      </c>
      <c r="K306" s="75">
        <f t="shared" si="39"/>
        <v>0</v>
      </c>
      <c r="L306" s="109"/>
      <c r="M306" s="110"/>
    </row>
    <row r="307" spans="1:13" ht="13.5">
      <c r="A307" s="901">
        <f>B5B!A138</f>
        <v>0</v>
      </c>
      <c r="B307" s="898"/>
      <c r="C307" s="400"/>
      <c r="D307" s="109"/>
      <c r="E307" s="109"/>
      <c r="F307" s="109"/>
      <c r="G307" s="109"/>
      <c r="H307" s="109"/>
      <c r="I307" s="109"/>
      <c r="J307" s="75">
        <f t="shared" si="38"/>
        <v>0</v>
      </c>
      <c r="K307" s="75">
        <f t="shared" si="39"/>
        <v>0</v>
      </c>
      <c r="L307" s="109"/>
      <c r="M307" s="110"/>
    </row>
    <row r="308" spans="1:13" ht="13.5">
      <c r="A308" s="901">
        <f>B5B!A139</f>
        <v>0</v>
      </c>
      <c r="B308" s="898"/>
      <c r="C308" s="400"/>
      <c r="D308" s="109"/>
      <c r="E308" s="109"/>
      <c r="F308" s="109"/>
      <c r="G308" s="109"/>
      <c r="H308" s="109"/>
      <c r="I308" s="109"/>
      <c r="J308" s="75">
        <f t="shared" si="38"/>
        <v>0</v>
      </c>
      <c r="K308" s="75">
        <f t="shared" si="39"/>
        <v>0</v>
      </c>
      <c r="L308" s="109"/>
      <c r="M308" s="110"/>
    </row>
    <row r="309" spans="1:13" ht="13.5">
      <c r="A309" s="899" t="str">
        <f>B5B!A140</f>
        <v>Vote 13 - [NAME OF VOTE 13]</v>
      </c>
      <c r="B309" s="898"/>
      <c r="C309" s="761">
        <f t="shared" ref="C309:I309" si="40">SUM(C310:C319)</f>
        <v>0</v>
      </c>
      <c r="D309" s="760">
        <f t="shared" si="40"/>
        <v>0</v>
      </c>
      <c r="E309" s="760">
        <f t="shared" si="40"/>
        <v>0</v>
      </c>
      <c r="F309" s="760">
        <f t="shared" si="40"/>
        <v>0</v>
      </c>
      <c r="G309" s="760">
        <f t="shared" si="40"/>
        <v>0</v>
      </c>
      <c r="H309" s="760">
        <f t="shared" si="40"/>
        <v>0</v>
      </c>
      <c r="I309" s="760">
        <f t="shared" si="40"/>
        <v>0</v>
      </c>
      <c r="J309" s="75">
        <f t="shared" si="38"/>
        <v>0</v>
      </c>
      <c r="K309" s="75">
        <f t="shared" si="39"/>
        <v>0</v>
      </c>
      <c r="L309" s="760">
        <f>SUM(L310:L319)</f>
        <v>0</v>
      </c>
      <c r="M309" s="788">
        <f>SUM(M310:M319)</f>
        <v>0</v>
      </c>
    </row>
    <row r="310" spans="1:13" ht="13.5">
      <c r="A310" s="901" t="str">
        <f>B5B!A141</f>
        <v>13.1 - [Name of sub-vote]</v>
      </c>
      <c r="B310" s="898"/>
      <c r="C310" s="400"/>
      <c r="D310" s="109"/>
      <c r="E310" s="109"/>
      <c r="F310" s="109"/>
      <c r="G310" s="109"/>
      <c r="H310" s="109"/>
      <c r="I310" s="109"/>
      <c r="J310" s="75">
        <f t="shared" si="38"/>
        <v>0</v>
      </c>
      <c r="K310" s="75">
        <f t="shared" si="39"/>
        <v>0</v>
      </c>
      <c r="L310" s="109"/>
      <c r="M310" s="110"/>
    </row>
    <row r="311" spans="1:13" ht="13.5">
      <c r="A311" s="901">
        <f>B5B!A142</f>
        <v>0</v>
      </c>
      <c r="B311" s="898"/>
      <c r="C311" s="400"/>
      <c r="D311" s="109"/>
      <c r="E311" s="109"/>
      <c r="F311" s="109"/>
      <c r="G311" s="109"/>
      <c r="H311" s="109"/>
      <c r="I311" s="109"/>
      <c r="J311" s="75">
        <f t="shared" si="38"/>
        <v>0</v>
      </c>
      <c r="K311" s="75">
        <f t="shared" si="39"/>
        <v>0</v>
      </c>
      <c r="L311" s="109"/>
      <c r="M311" s="110"/>
    </row>
    <row r="312" spans="1:13" ht="13.5">
      <c r="A312" s="901">
        <f>B5B!A143</f>
        <v>0</v>
      </c>
      <c r="B312" s="898"/>
      <c r="C312" s="400"/>
      <c r="D312" s="109"/>
      <c r="E312" s="109"/>
      <c r="F312" s="109"/>
      <c r="G312" s="109"/>
      <c r="H312" s="109"/>
      <c r="I312" s="109"/>
      <c r="J312" s="75">
        <f t="shared" si="38"/>
        <v>0</v>
      </c>
      <c r="K312" s="75">
        <f t="shared" si="39"/>
        <v>0</v>
      </c>
      <c r="L312" s="109"/>
      <c r="M312" s="110"/>
    </row>
    <row r="313" spans="1:13" ht="13.5">
      <c r="A313" s="901">
        <f>B5B!A144</f>
        <v>0</v>
      </c>
      <c r="B313" s="898"/>
      <c r="C313" s="400"/>
      <c r="D313" s="109"/>
      <c r="E313" s="109"/>
      <c r="F313" s="109"/>
      <c r="G313" s="109"/>
      <c r="H313" s="109"/>
      <c r="I313" s="109"/>
      <c r="J313" s="75">
        <f t="shared" si="38"/>
        <v>0</v>
      </c>
      <c r="K313" s="75">
        <f t="shared" si="39"/>
        <v>0</v>
      </c>
      <c r="L313" s="109"/>
      <c r="M313" s="110"/>
    </row>
    <row r="314" spans="1:13" ht="13.5">
      <c r="A314" s="901">
        <f>B5B!A145</f>
        <v>0</v>
      </c>
      <c r="B314" s="898"/>
      <c r="C314" s="400"/>
      <c r="D314" s="109"/>
      <c r="E314" s="109"/>
      <c r="F314" s="109"/>
      <c r="G314" s="109"/>
      <c r="H314" s="109"/>
      <c r="I314" s="109"/>
      <c r="J314" s="75">
        <f t="shared" si="38"/>
        <v>0</v>
      </c>
      <c r="K314" s="75">
        <f t="shared" si="39"/>
        <v>0</v>
      </c>
      <c r="L314" s="109"/>
      <c r="M314" s="110"/>
    </row>
    <row r="315" spans="1:13" ht="13.5">
      <c r="A315" s="901">
        <f>B5B!A146</f>
        <v>0</v>
      </c>
      <c r="B315" s="898"/>
      <c r="C315" s="400"/>
      <c r="D315" s="109"/>
      <c r="E315" s="109"/>
      <c r="F315" s="109"/>
      <c r="G315" s="109"/>
      <c r="H315" s="109"/>
      <c r="I315" s="109"/>
      <c r="J315" s="75">
        <f t="shared" si="38"/>
        <v>0</v>
      </c>
      <c r="K315" s="75">
        <f t="shared" si="39"/>
        <v>0</v>
      </c>
      <c r="L315" s="109"/>
      <c r="M315" s="110"/>
    </row>
    <row r="316" spans="1:13" ht="13.5">
      <c r="A316" s="901">
        <f>B5B!A147</f>
        <v>0</v>
      </c>
      <c r="B316" s="898"/>
      <c r="C316" s="400"/>
      <c r="D316" s="109"/>
      <c r="E316" s="109"/>
      <c r="F316" s="109"/>
      <c r="G316" s="109"/>
      <c r="H316" s="109"/>
      <c r="I316" s="109"/>
      <c r="J316" s="75">
        <f t="shared" si="38"/>
        <v>0</v>
      </c>
      <c r="K316" s="75">
        <f t="shared" si="39"/>
        <v>0</v>
      </c>
      <c r="L316" s="109"/>
      <c r="M316" s="110"/>
    </row>
    <row r="317" spans="1:13" ht="13.5">
      <c r="A317" s="901">
        <f>B5B!A148</f>
        <v>0</v>
      </c>
      <c r="B317" s="898"/>
      <c r="C317" s="400"/>
      <c r="D317" s="109"/>
      <c r="E317" s="109"/>
      <c r="F317" s="109"/>
      <c r="G317" s="109"/>
      <c r="H317" s="109"/>
      <c r="I317" s="109"/>
      <c r="J317" s="75">
        <f t="shared" si="38"/>
        <v>0</v>
      </c>
      <c r="K317" s="75">
        <f t="shared" si="39"/>
        <v>0</v>
      </c>
      <c r="L317" s="109"/>
      <c r="M317" s="110"/>
    </row>
    <row r="318" spans="1:13" ht="13.5">
      <c r="A318" s="901">
        <f>B5B!A149</f>
        <v>0</v>
      </c>
      <c r="B318" s="898"/>
      <c r="C318" s="400"/>
      <c r="D318" s="109"/>
      <c r="E318" s="109"/>
      <c r="F318" s="109"/>
      <c r="G318" s="109"/>
      <c r="H318" s="109"/>
      <c r="I318" s="109"/>
      <c r="J318" s="75">
        <f t="shared" si="38"/>
        <v>0</v>
      </c>
      <c r="K318" s="75">
        <f t="shared" si="39"/>
        <v>0</v>
      </c>
      <c r="L318" s="109"/>
      <c r="M318" s="110"/>
    </row>
    <row r="319" spans="1:13" ht="13.5">
      <c r="A319" s="901">
        <f>B5B!A150</f>
        <v>0</v>
      </c>
      <c r="B319" s="898"/>
      <c r="C319" s="400"/>
      <c r="D319" s="109"/>
      <c r="E319" s="109"/>
      <c r="F319" s="109"/>
      <c r="G319" s="109"/>
      <c r="H319" s="109"/>
      <c r="I319" s="109"/>
      <c r="J319" s="75">
        <f t="shared" si="38"/>
        <v>0</v>
      </c>
      <c r="K319" s="75">
        <f t="shared" si="39"/>
        <v>0</v>
      </c>
      <c r="L319" s="109"/>
      <c r="M319" s="110"/>
    </row>
    <row r="320" spans="1:13" ht="13.5">
      <c r="A320" s="899" t="str">
        <f>B5B!A151</f>
        <v>Vote 14 - [NAME OF VOTE 14]</v>
      </c>
      <c r="B320" s="898"/>
      <c r="C320" s="761">
        <f t="shared" ref="C320:I320" si="41">SUM(C321:C330)</f>
        <v>0</v>
      </c>
      <c r="D320" s="760">
        <f t="shared" si="41"/>
        <v>0</v>
      </c>
      <c r="E320" s="760">
        <f t="shared" si="41"/>
        <v>0</v>
      </c>
      <c r="F320" s="760">
        <f t="shared" si="41"/>
        <v>0</v>
      </c>
      <c r="G320" s="760">
        <f t="shared" si="41"/>
        <v>0</v>
      </c>
      <c r="H320" s="760">
        <f t="shared" si="41"/>
        <v>0</v>
      </c>
      <c r="I320" s="760">
        <f t="shared" si="41"/>
        <v>0</v>
      </c>
      <c r="J320" s="75">
        <f t="shared" si="38"/>
        <v>0</v>
      </c>
      <c r="K320" s="75">
        <f t="shared" si="39"/>
        <v>0</v>
      </c>
      <c r="L320" s="760">
        <f>SUM(L321:L330)</f>
        <v>0</v>
      </c>
      <c r="M320" s="788">
        <f>SUM(M321:M330)</f>
        <v>0</v>
      </c>
    </row>
    <row r="321" spans="1:13" ht="13.5">
      <c r="A321" s="901" t="str">
        <f>B5B!A152</f>
        <v>14.1 - [Name of sub-vote]</v>
      </c>
      <c r="B321" s="898"/>
      <c r="C321" s="400"/>
      <c r="D321" s="109"/>
      <c r="E321" s="109"/>
      <c r="F321" s="109"/>
      <c r="G321" s="109"/>
      <c r="H321" s="109"/>
      <c r="I321" s="109"/>
      <c r="J321" s="75">
        <f t="shared" si="38"/>
        <v>0</v>
      </c>
      <c r="K321" s="75">
        <f t="shared" si="39"/>
        <v>0</v>
      </c>
      <c r="L321" s="109"/>
      <c r="M321" s="110"/>
    </row>
    <row r="322" spans="1:13" ht="13.5">
      <c r="A322" s="901">
        <f>B5B!A153</f>
        <v>0</v>
      </c>
      <c r="B322" s="898"/>
      <c r="C322" s="400"/>
      <c r="D322" s="109"/>
      <c r="E322" s="109"/>
      <c r="F322" s="109"/>
      <c r="G322" s="109"/>
      <c r="H322" s="109"/>
      <c r="I322" s="109"/>
      <c r="J322" s="75">
        <f t="shared" si="38"/>
        <v>0</v>
      </c>
      <c r="K322" s="75">
        <f t="shared" si="39"/>
        <v>0</v>
      </c>
      <c r="L322" s="109"/>
      <c r="M322" s="110"/>
    </row>
    <row r="323" spans="1:13" ht="13.5">
      <c r="A323" s="901">
        <f>B5B!A154</f>
        <v>0</v>
      </c>
      <c r="B323" s="898"/>
      <c r="C323" s="400"/>
      <c r="D323" s="109"/>
      <c r="E323" s="109"/>
      <c r="F323" s="109"/>
      <c r="G323" s="109"/>
      <c r="H323" s="109"/>
      <c r="I323" s="109"/>
      <c r="J323" s="75">
        <f t="shared" si="38"/>
        <v>0</v>
      </c>
      <c r="K323" s="75">
        <f t="shared" si="39"/>
        <v>0</v>
      </c>
      <c r="L323" s="109"/>
      <c r="M323" s="110"/>
    </row>
    <row r="324" spans="1:13" ht="13.5">
      <c r="A324" s="901">
        <f>B5B!A155</f>
        <v>0</v>
      </c>
      <c r="B324" s="898"/>
      <c r="C324" s="400"/>
      <c r="D324" s="109"/>
      <c r="E324" s="109"/>
      <c r="F324" s="109"/>
      <c r="G324" s="109"/>
      <c r="H324" s="109"/>
      <c r="I324" s="109"/>
      <c r="J324" s="75">
        <f t="shared" si="38"/>
        <v>0</v>
      </c>
      <c r="K324" s="75">
        <f t="shared" si="39"/>
        <v>0</v>
      </c>
      <c r="L324" s="109"/>
      <c r="M324" s="110"/>
    </row>
    <row r="325" spans="1:13" ht="13.5">
      <c r="A325" s="901">
        <f>B5B!A156</f>
        <v>0</v>
      </c>
      <c r="B325" s="898"/>
      <c r="C325" s="400"/>
      <c r="D325" s="109"/>
      <c r="E325" s="109"/>
      <c r="F325" s="109"/>
      <c r="G325" s="109"/>
      <c r="H325" s="109"/>
      <c r="I325" s="109"/>
      <c r="J325" s="75">
        <f t="shared" si="38"/>
        <v>0</v>
      </c>
      <c r="K325" s="75">
        <f t="shared" si="39"/>
        <v>0</v>
      </c>
      <c r="L325" s="109"/>
      <c r="M325" s="110"/>
    </row>
    <row r="326" spans="1:13" ht="13.5">
      <c r="A326" s="901">
        <f>B5B!A157</f>
        <v>0</v>
      </c>
      <c r="B326" s="898"/>
      <c r="C326" s="400"/>
      <c r="D326" s="109"/>
      <c r="E326" s="109"/>
      <c r="F326" s="109"/>
      <c r="G326" s="109"/>
      <c r="H326" s="109"/>
      <c r="I326" s="109"/>
      <c r="J326" s="75">
        <f t="shared" si="38"/>
        <v>0</v>
      </c>
      <c r="K326" s="75">
        <f t="shared" si="39"/>
        <v>0</v>
      </c>
      <c r="L326" s="109"/>
      <c r="M326" s="110"/>
    </row>
    <row r="327" spans="1:13" ht="13.5">
      <c r="A327" s="901">
        <f>B5B!A158</f>
        <v>0</v>
      </c>
      <c r="B327" s="898"/>
      <c r="C327" s="400"/>
      <c r="D327" s="109"/>
      <c r="E327" s="109"/>
      <c r="F327" s="109"/>
      <c r="G327" s="109"/>
      <c r="H327" s="109"/>
      <c r="I327" s="109"/>
      <c r="J327" s="75">
        <f t="shared" si="38"/>
        <v>0</v>
      </c>
      <c r="K327" s="75">
        <f t="shared" si="39"/>
        <v>0</v>
      </c>
      <c r="L327" s="109"/>
      <c r="M327" s="110"/>
    </row>
    <row r="328" spans="1:13" ht="13.5">
      <c r="A328" s="901">
        <f>B5B!A159</f>
        <v>0</v>
      </c>
      <c r="B328" s="898"/>
      <c r="C328" s="400"/>
      <c r="D328" s="109"/>
      <c r="E328" s="109"/>
      <c r="F328" s="109"/>
      <c r="G328" s="109"/>
      <c r="H328" s="109"/>
      <c r="I328" s="109"/>
      <c r="J328" s="75">
        <f t="shared" si="38"/>
        <v>0</v>
      </c>
      <c r="K328" s="75">
        <f t="shared" si="39"/>
        <v>0</v>
      </c>
      <c r="L328" s="109"/>
      <c r="M328" s="110"/>
    </row>
    <row r="329" spans="1:13" ht="13.5">
      <c r="A329" s="901">
        <f>B5B!A160</f>
        <v>0</v>
      </c>
      <c r="B329" s="898"/>
      <c r="C329" s="400"/>
      <c r="D329" s="109"/>
      <c r="E329" s="109"/>
      <c r="F329" s="109"/>
      <c r="G329" s="109"/>
      <c r="H329" s="109"/>
      <c r="I329" s="109"/>
      <c r="J329" s="75">
        <f t="shared" si="38"/>
        <v>0</v>
      </c>
      <c r="K329" s="75">
        <f t="shared" si="39"/>
        <v>0</v>
      </c>
      <c r="L329" s="109"/>
      <c r="M329" s="110"/>
    </row>
    <row r="330" spans="1:13" ht="13.5">
      <c r="A330" s="901">
        <f>B5B!A161</f>
        <v>0</v>
      </c>
      <c r="B330" s="898"/>
      <c r="C330" s="400"/>
      <c r="D330" s="109"/>
      <c r="E330" s="109"/>
      <c r="F330" s="109"/>
      <c r="G330" s="109"/>
      <c r="H330" s="109"/>
      <c r="I330" s="109"/>
      <c r="J330" s="75">
        <f t="shared" si="38"/>
        <v>0</v>
      </c>
      <c r="K330" s="75">
        <f t="shared" si="39"/>
        <v>0</v>
      </c>
      <c r="L330" s="109"/>
      <c r="M330" s="110"/>
    </row>
    <row r="331" spans="1:13" ht="13.5">
      <c r="A331" s="899" t="str">
        <f>B5B!A162</f>
        <v>Vote 15 - [NAME OF VOTE 15]</v>
      </c>
      <c r="B331" s="898"/>
      <c r="C331" s="761">
        <f t="shared" ref="C331:I331" si="42">SUM(C332:C341)</f>
        <v>0</v>
      </c>
      <c r="D331" s="760">
        <f t="shared" si="42"/>
        <v>0</v>
      </c>
      <c r="E331" s="760">
        <f t="shared" si="42"/>
        <v>0</v>
      </c>
      <c r="F331" s="760">
        <f t="shared" si="42"/>
        <v>0</v>
      </c>
      <c r="G331" s="760">
        <f t="shared" si="42"/>
        <v>0</v>
      </c>
      <c r="H331" s="760">
        <f t="shared" si="42"/>
        <v>0</v>
      </c>
      <c r="I331" s="760">
        <f t="shared" si="42"/>
        <v>0</v>
      </c>
      <c r="J331" s="75">
        <f t="shared" si="38"/>
        <v>0</v>
      </c>
      <c r="K331" s="75">
        <f t="shared" si="39"/>
        <v>0</v>
      </c>
      <c r="L331" s="760">
        <f>SUM(L332:L341)</f>
        <v>0</v>
      </c>
      <c r="M331" s="788">
        <f>SUM(M332:M341)</f>
        <v>0</v>
      </c>
    </row>
    <row r="332" spans="1:13" ht="13.5">
      <c r="A332" s="901" t="str">
        <f>B5B!A163</f>
        <v>15.1 - [Name of sub-vote]</v>
      </c>
      <c r="B332" s="898"/>
      <c r="C332" s="400"/>
      <c r="D332" s="109"/>
      <c r="E332" s="109"/>
      <c r="F332" s="109"/>
      <c r="G332" s="109"/>
      <c r="H332" s="109"/>
      <c r="I332" s="109"/>
      <c r="J332" s="75">
        <f t="shared" si="38"/>
        <v>0</v>
      </c>
      <c r="K332" s="75">
        <f t="shared" si="39"/>
        <v>0</v>
      </c>
      <c r="L332" s="109"/>
      <c r="M332" s="110"/>
    </row>
    <row r="333" spans="1:13" ht="13.5">
      <c r="A333" s="901">
        <f>B5B!A164</f>
        <v>0</v>
      </c>
      <c r="B333" s="898"/>
      <c r="C333" s="400"/>
      <c r="D333" s="109"/>
      <c r="E333" s="109"/>
      <c r="F333" s="109"/>
      <c r="G333" s="109"/>
      <c r="H333" s="109"/>
      <c r="I333" s="109"/>
      <c r="J333" s="75">
        <f t="shared" si="38"/>
        <v>0</v>
      </c>
      <c r="K333" s="75">
        <f t="shared" si="39"/>
        <v>0</v>
      </c>
      <c r="L333" s="109"/>
      <c r="M333" s="110"/>
    </row>
    <row r="334" spans="1:13" ht="13.5">
      <c r="A334" s="901">
        <f>B5B!A165</f>
        <v>0</v>
      </c>
      <c r="B334" s="898"/>
      <c r="C334" s="400"/>
      <c r="D334" s="109"/>
      <c r="E334" s="109"/>
      <c r="F334" s="109"/>
      <c r="G334" s="109"/>
      <c r="H334" s="109"/>
      <c r="I334" s="109"/>
      <c r="J334" s="75">
        <f t="shared" si="38"/>
        <v>0</v>
      </c>
      <c r="K334" s="75">
        <f t="shared" si="39"/>
        <v>0</v>
      </c>
      <c r="L334" s="109"/>
      <c r="M334" s="110"/>
    </row>
    <row r="335" spans="1:13" ht="13.5">
      <c r="A335" s="901">
        <f>B5B!A166</f>
        <v>0</v>
      </c>
      <c r="B335" s="898"/>
      <c r="C335" s="400"/>
      <c r="D335" s="109"/>
      <c r="E335" s="109"/>
      <c r="F335" s="109"/>
      <c r="G335" s="109"/>
      <c r="H335" s="109"/>
      <c r="I335" s="109"/>
      <c r="J335" s="75">
        <f t="shared" si="38"/>
        <v>0</v>
      </c>
      <c r="K335" s="75">
        <f t="shared" si="39"/>
        <v>0</v>
      </c>
      <c r="L335" s="109"/>
      <c r="M335" s="110"/>
    </row>
    <row r="336" spans="1:13" ht="13.5">
      <c r="A336" s="901">
        <f>B5B!A167</f>
        <v>0</v>
      </c>
      <c r="B336" s="898"/>
      <c r="C336" s="400"/>
      <c r="D336" s="109"/>
      <c r="E336" s="109"/>
      <c r="F336" s="109"/>
      <c r="G336" s="109"/>
      <c r="H336" s="109"/>
      <c r="I336" s="109"/>
      <c r="J336" s="75">
        <f t="shared" si="38"/>
        <v>0</v>
      </c>
      <c r="K336" s="75">
        <f t="shared" si="39"/>
        <v>0</v>
      </c>
      <c r="L336" s="109"/>
      <c r="M336" s="110"/>
    </row>
    <row r="337" spans="1:13" ht="13.5">
      <c r="A337" s="901">
        <f>B5B!A168</f>
        <v>0</v>
      </c>
      <c r="B337" s="898"/>
      <c r="C337" s="400"/>
      <c r="D337" s="109"/>
      <c r="E337" s="109"/>
      <c r="F337" s="109"/>
      <c r="G337" s="109"/>
      <c r="H337" s="109"/>
      <c r="I337" s="109"/>
      <c r="J337" s="75">
        <f t="shared" si="38"/>
        <v>0</v>
      </c>
      <c r="K337" s="75">
        <f t="shared" si="39"/>
        <v>0</v>
      </c>
      <c r="L337" s="109"/>
      <c r="M337" s="110"/>
    </row>
    <row r="338" spans="1:13" ht="13.5">
      <c r="A338" s="901">
        <f>B5B!A169</f>
        <v>0</v>
      </c>
      <c r="B338" s="898"/>
      <c r="C338" s="400"/>
      <c r="D338" s="109"/>
      <c r="E338" s="109"/>
      <c r="F338" s="109"/>
      <c r="G338" s="109"/>
      <c r="H338" s="109"/>
      <c r="I338" s="109"/>
      <c r="J338" s="75">
        <f t="shared" si="38"/>
        <v>0</v>
      </c>
      <c r="K338" s="75">
        <f t="shared" si="39"/>
        <v>0</v>
      </c>
      <c r="L338" s="109"/>
      <c r="M338" s="110"/>
    </row>
    <row r="339" spans="1:13" ht="13.5">
      <c r="A339" s="901">
        <f>B5B!A170</f>
        <v>0</v>
      </c>
      <c r="B339" s="898"/>
      <c r="C339" s="400"/>
      <c r="D339" s="109"/>
      <c r="E339" s="109"/>
      <c r="F339" s="109"/>
      <c r="G339" s="109"/>
      <c r="H339" s="109"/>
      <c r="I339" s="109"/>
      <c r="J339" s="75">
        <f t="shared" si="38"/>
        <v>0</v>
      </c>
      <c r="K339" s="75">
        <f t="shared" si="39"/>
        <v>0</v>
      </c>
      <c r="L339" s="109"/>
      <c r="M339" s="110"/>
    </row>
    <row r="340" spans="1:13" ht="13.5">
      <c r="A340" s="901">
        <f>B5B!A171</f>
        <v>0</v>
      </c>
      <c r="B340" s="898"/>
      <c r="C340" s="400"/>
      <c r="D340" s="109"/>
      <c r="E340" s="109"/>
      <c r="F340" s="109"/>
      <c r="G340" s="109"/>
      <c r="H340" s="109"/>
      <c r="I340" s="109"/>
      <c r="J340" s="75">
        <f t="shared" si="38"/>
        <v>0</v>
      </c>
      <c r="K340" s="75">
        <f t="shared" si="39"/>
        <v>0</v>
      </c>
      <c r="L340" s="109"/>
      <c r="M340" s="110"/>
    </row>
    <row r="341" spans="1:13" ht="13.5">
      <c r="A341" s="901">
        <f>B5B!A172</f>
        <v>0</v>
      </c>
      <c r="B341" s="898"/>
      <c r="C341" s="400"/>
      <c r="D341" s="109"/>
      <c r="E341" s="109"/>
      <c r="F341" s="109"/>
      <c r="G341" s="109"/>
      <c r="H341" s="109"/>
      <c r="I341" s="109"/>
      <c r="J341" s="75">
        <f t="shared" si="38"/>
        <v>0</v>
      </c>
      <c r="K341" s="75">
        <f t="shared" si="39"/>
        <v>0</v>
      </c>
      <c r="L341" s="109"/>
      <c r="M341" s="110"/>
    </row>
    <row r="342" spans="1:13" ht="11.25" customHeight="1">
      <c r="A342" s="899" t="s">
        <v>717</v>
      </c>
      <c r="B342" s="898"/>
      <c r="C342" s="304">
        <f>C177+C188+C199+C210+C221+C232+C243+C254+C265+C287+C298+C309+C320+C331+C276</f>
        <v>0</v>
      </c>
      <c r="D342" s="150">
        <f t="shared" ref="D342:I342" si="43">D177+D188+D199+D210+D221+D232+D243+D254+D265+D287+D298+D309+D320+D331+D276</f>
        <v>0</v>
      </c>
      <c r="E342" s="150">
        <f t="shared" si="43"/>
        <v>0</v>
      </c>
      <c r="F342" s="150">
        <f t="shared" si="43"/>
        <v>0</v>
      </c>
      <c r="G342" s="150">
        <f t="shared" si="43"/>
        <v>0</v>
      </c>
      <c r="H342" s="150">
        <f t="shared" si="43"/>
        <v>0</v>
      </c>
      <c r="I342" s="150">
        <f t="shared" si="43"/>
        <v>0</v>
      </c>
      <c r="J342" s="500">
        <f t="shared" si="38"/>
        <v>0</v>
      </c>
      <c r="K342" s="500">
        <f t="shared" si="39"/>
        <v>0</v>
      </c>
      <c r="L342" s="150">
        <f>L177+L188+L199+L210+L221+L232+L243+L254+L265+L287+L298+L309+L320+L331+L276</f>
        <v>0</v>
      </c>
      <c r="M342" s="151">
        <f>M177+M188+M199+M210+M221+M232+M243+M254+M265+M287+M298+M309+M320+M331+M276</f>
        <v>0</v>
      </c>
    </row>
    <row r="343" spans="1:13" ht="14.25" customHeight="1">
      <c r="A343" s="907" t="s">
        <v>482</v>
      </c>
      <c r="B343" s="908"/>
      <c r="C343" s="799">
        <f>C342+C173</f>
        <v>165629847</v>
      </c>
      <c r="D343" s="800">
        <f t="shared" ref="D343:I343" si="44">D342+D173</f>
        <v>0</v>
      </c>
      <c r="E343" s="800">
        <f t="shared" si="44"/>
        <v>0</v>
      </c>
      <c r="F343" s="800">
        <f t="shared" si="44"/>
        <v>0</v>
      </c>
      <c r="G343" s="800">
        <f t="shared" si="44"/>
        <v>0</v>
      </c>
      <c r="H343" s="800">
        <f t="shared" si="44"/>
        <v>20350000</v>
      </c>
      <c r="I343" s="800">
        <f t="shared" si="44"/>
        <v>31502614</v>
      </c>
      <c r="J343" s="801">
        <f>SUM(E343:I343)</f>
        <v>51852614</v>
      </c>
      <c r="K343" s="801">
        <f>IF(D343=0,C343+J343,D343+J343)</f>
        <v>217482461</v>
      </c>
      <c r="L343" s="800">
        <f>L342+L173</f>
        <v>167012676</v>
      </c>
      <c r="M343" s="802">
        <f>M342+M173</f>
        <v>215752848</v>
      </c>
    </row>
    <row r="344" spans="1:13" ht="13.5">
      <c r="B344" s="910"/>
      <c r="C344" s="780"/>
      <c r="D344" s="781"/>
      <c r="E344" s="781"/>
      <c r="F344" s="781"/>
      <c r="G344" s="781"/>
      <c r="H344" s="781"/>
      <c r="I344" s="781"/>
      <c r="J344" s="781"/>
      <c r="K344" s="781"/>
    </row>
    <row r="345" spans="1:13" ht="13.5">
      <c r="B345" s="910"/>
      <c r="C345" s="782"/>
      <c r="D345" s="782"/>
      <c r="E345" s="783"/>
      <c r="F345" s="783"/>
      <c r="G345" s="783"/>
      <c r="H345" s="783"/>
      <c r="I345" s="783"/>
      <c r="J345" s="783"/>
      <c r="K345" s="783"/>
    </row>
    <row r="346" spans="1:13" ht="13.5">
      <c r="A346" s="911" t="str">
        <f>head27a</f>
        <v>References</v>
      </c>
      <c r="B346" s="910"/>
      <c r="C346" s="782"/>
      <c r="D346" s="782"/>
      <c r="E346" s="783"/>
      <c r="F346" s="783"/>
      <c r="G346" s="783"/>
      <c r="H346" s="783"/>
      <c r="I346" s="783"/>
      <c r="J346" s="783"/>
      <c r="K346" s="783"/>
    </row>
    <row r="347" spans="1:13" ht="13.5">
      <c r="A347" s="912" t="s">
        <v>1155</v>
      </c>
      <c r="B347" s="913"/>
      <c r="C347" s="785"/>
      <c r="D347" s="785"/>
      <c r="E347" s="786"/>
      <c r="F347" s="786"/>
      <c r="G347" s="786"/>
      <c r="H347" s="786"/>
      <c r="I347" s="786"/>
      <c r="J347" s="786"/>
      <c r="K347" s="786"/>
    </row>
    <row r="348" spans="1:13" ht="13.5">
      <c r="A348" s="914" t="s">
        <v>1156</v>
      </c>
    </row>
    <row r="349" spans="1:13" ht="13.5">
      <c r="A349" s="914" t="s">
        <v>1157</v>
      </c>
    </row>
  </sheetData>
  <sheetProtection sheet="1" objects="1" scenarios="1"/>
  <dataConsolidate/>
  <mergeCells count="3">
    <mergeCell ref="A2:A3"/>
    <mergeCell ref="B2:B5"/>
    <mergeCell ref="C2:K2"/>
  </mergeCells>
  <phoneticPr fontId="17"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86" enableFormatConditionsCalculation="0">
    <tabColor indexed="44"/>
    <pageSetUpPr fitToPage="1"/>
  </sheetPr>
  <dimension ref="A1:M96"/>
  <sheetViews>
    <sheetView showGridLines="0" workbookViewId="0">
      <pane xSplit="2" ySplit="5" topLeftCell="C50" activePane="bottomRight" state="frozen"/>
      <selection activeCell="M17" sqref="M17:M63"/>
      <selection pane="topRight" activeCell="M17" sqref="M17:M63"/>
      <selection pane="bottomLeft" activeCell="M17" sqref="M17:M63"/>
      <selection pane="bottomRight" activeCell="K10" sqref="K10:K12"/>
    </sheetView>
  </sheetViews>
  <sheetFormatPr defaultRowHeight="12.7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"&amp;_ADJ6&amp;" - "&amp;Date</f>
        <v>LIM333 Greater Tzaneen - Table B6 Consolidated Adjustments Budget Financial Position - 26 FEBRUARY 2014</v>
      </c>
      <c r="B1" s="5"/>
      <c r="C1" s="58"/>
    </row>
    <row r="2" spans="1:13" ht="38.25">
      <c r="A2" s="1322" t="str">
        <f>desc</f>
        <v>Description</v>
      </c>
      <c r="B2" s="1322" t="str">
        <f>head27</f>
        <v>Ref</v>
      </c>
      <c r="C2" s="1319" t="str">
        <f>Head2</f>
        <v>Budget Year 2013/14</v>
      </c>
      <c r="D2" s="1320"/>
      <c r="E2" s="1320"/>
      <c r="F2" s="1320"/>
      <c r="G2" s="1320"/>
      <c r="H2" s="1320"/>
      <c r="I2" s="1320"/>
      <c r="J2" s="1320"/>
      <c r="K2" s="1321"/>
      <c r="L2" s="169" t="str">
        <f>Head10</f>
        <v>Budget Year +1 2014/15</v>
      </c>
      <c r="M2" s="170" t="str">
        <f>Head11</f>
        <v>Budget Year +2 2015/16</v>
      </c>
    </row>
    <row r="3" spans="1:13"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323"/>
      <c r="B4" s="1323"/>
      <c r="C4" s="65"/>
      <c r="D4" s="15">
        <v>3</v>
      </c>
      <c r="E4" s="15">
        <v>4</v>
      </c>
      <c r="F4" s="15">
        <v>5</v>
      </c>
      <c r="G4" s="15">
        <v>6</v>
      </c>
      <c r="H4" s="15">
        <v>7</v>
      </c>
      <c r="I4" s="15">
        <v>8</v>
      </c>
      <c r="J4" s="15">
        <v>9</v>
      </c>
      <c r="K4" s="15">
        <v>10</v>
      </c>
      <c r="L4" s="15"/>
      <c r="M4" s="17"/>
    </row>
    <row r="5" spans="1:13">
      <c r="A5" s="66" t="s">
        <v>643</v>
      </c>
      <c r="B5" s="104"/>
      <c r="C5" s="67" t="s">
        <v>583</v>
      </c>
      <c r="D5" s="68" t="s">
        <v>584</v>
      </c>
      <c r="E5" s="68" t="s">
        <v>585</v>
      </c>
      <c r="F5" s="69" t="s">
        <v>586</v>
      </c>
      <c r="G5" s="69" t="s">
        <v>587</v>
      </c>
      <c r="H5" s="69" t="s">
        <v>588</v>
      </c>
      <c r="I5" s="70" t="s">
        <v>589</v>
      </c>
      <c r="J5" s="70" t="s">
        <v>590</v>
      </c>
      <c r="K5" s="70" t="s">
        <v>591</v>
      </c>
      <c r="L5" s="70"/>
      <c r="M5" s="71"/>
    </row>
    <row r="6" spans="1:13" ht="12.75" customHeight="1">
      <c r="A6" s="138" t="s">
        <v>727</v>
      </c>
      <c r="B6" s="73"/>
      <c r="C6" s="74"/>
      <c r="D6" s="75"/>
      <c r="E6" s="75"/>
      <c r="F6" s="75"/>
      <c r="G6" s="75"/>
      <c r="H6" s="75"/>
      <c r="I6" s="75"/>
      <c r="J6" s="75"/>
      <c r="K6" s="75"/>
      <c r="L6" s="75"/>
      <c r="M6" s="76"/>
    </row>
    <row r="7" spans="1:13" ht="12.75" customHeight="1">
      <c r="A7" s="138" t="s">
        <v>728</v>
      </c>
      <c r="B7" s="73"/>
      <c r="C7" s="126"/>
      <c r="D7" s="75"/>
      <c r="E7" s="75"/>
      <c r="F7" s="75"/>
      <c r="G7" s="75"/>
      <c r="H7" s="75"/>
      <c r="I7" s="75"/>
      <c r="J7" s="75"/>
      <c r="K7" s="75"/>
      <c r="L7" s="75"/>
      <c r="M7" s="76"/>
    </row>
    <row r="8" spans="1:13" ht="12.75" customHeight="1">
      <c r="A8" s="128" t="s">
        <v>744</v>
      </c>
      <c r="B8" s="73"/>
      <c r="C8" s="129">
        <v>12342983</v>
      </c>
      <c r="D8" s="109"/>
      <c r="E8" s="109"/>
      <c r="F8" s="109"/>
      <c r="G8" s="109"/>
      <c r="H8" s="109"/>
      <c r="I8" s="129">
        <v>-12342983</v>
      </c>
      <c r="J8" s="75">
        <f t="shared" ref="J8:J13" si="0">SUM(E8:I8)</f>
        <v>-12342983</v>
      </c>
      <c r="K8" s="75">
        <f t="shared" ref="K8:K13" si="1">IF(D8=0,C8+J8,D8+J8)</f>
        <v>0</v>
      </c>
      <c r="L8" s="109">
        <v>0</v>
      </c>
      <c r="M8" s="109">
        <v>913000</v>
      </c>
    </row>
    <row r="9" spans="1:13" ht="12.75" customHeight="1">
      <c r="A9" s="128" t="s">
        <v>745</v>
      </c>
      <c r="B9" s="73">
        <v>1</v>
      </c>
      <c r="C9" s="130">
        <f>'SB2'!C10</f>
        <v>0</v>
      </c>
      <c r="D9" s="131">
        <f>'SB2'!D10</f>
        <v>0</v>
      </c>
      <c r="E9" s="131">
        <f>'SB2'!E10</f>
        <v>0</v>
      </c>
      <c r="F9" s="131">
        <f>'SB2'!F10</f>
        <v>0</v>
      </c>
      <c r="G9" s="131">
        <f>'SB2'!G10</f>
        <v>0</v>
      </c>
      <c r="H9" s="131">
        <f>'SB2'!H10</f>
        <v>0</v>
      </c>
      <c r="I9" s="131">
        <f>'SB2'!I10</f>
        <v>0</v>
      </c>
      <c r="J9" s="171">
        <f t="shared" si="0"/>
        <v>0</v>
      </c>
      <c r="K9" s="171">
        <f t="shared" si="1"/>
        <v>0</v>
      </c>
      <c r="L9" s="131">
        <f>'SB2'!L10</f>
        <v>0</v>
      </c>
      <c r="M9" s="132">
        <f>'SB2'!M10</f>
        <v>0</v>
      </c>
    </row>
    <row r="10" spans="1:13" ht="12.75" customHeight="1">
      <c r="A10" s="128" t="s">
        <v>746</v>
      </c>
      <c r="B10" s="73">
        <v>1</v>
      </c>
      <c r="C10" s="130">
        <f>'SB2'!C14</f>
        <v>49761375</v>
      </c>
      <c r="D10" s="131">
        <f>'SB2'!D14</f>
        <v>0</v>
      </c>
      <c r="E10" s="131">
        <f>'SB2'!E14</f>
        <v>0</v>
      </c>
      <c r="F10" s="131">
        <f>'SB2'!F14</f>
        <v>0</v>
      </c>
      <c r="G10" s="131">
        <f>'SB2'!G14</f>
        <v>0</v>
      </c>
      <c r="H10" s="131">
        <f>'SB2'!H14</f>
        <v>0</v>
      </c>
      <c r="I10" s="131">
        <f>'SB2'!I14</f>
        <v>0</v>
      </c>
      <c r="J10" s="171">
        <f t="shared" si="0"/>
        <v>0</v>
      </c>
      <c r="K10" s="171">
        <f t="shared" si="1"/>
        <v>49761375</v>
      </c>
      <c r="L10" s="131">
        <f>'SB2'!L14</f>
        <v>48268534</v>
      </c>
      <c r="M10" s="132">
        <f>'SB2'!M14</f>
        <v>47303163</v>
      </c>
    </row>
    <row r="11" spans="1:13" ht="12.75" customHeight="1">
      <c r="A11" s="128" t="s">
        <v>747</v>
      </c>
      <c r="B11" s="73"/>
      <c r="C11" s="129">
        <v>99650882</v>
      </c>
      <c r="D11" s="109"/>
      <c r="E11" s="109"/>
      <c r="F11" s="109"/>
      <c r="G11" s="109"/>
      <c r="H11" s="109"/>
      <c r="I11" s="109"/>
      <c r="J11" s="75">
        <f t="shared" si="0"/>
        <v>0</v>
      </c>
      <c r="K11" s="75">
        <f t="shared" si="1"/>
        <v>99650882</v>
      </c>
      <c r="L11" s="109">
        <v>98666673</v>
      </c>
      <c r="M11" s="109">
        <v>97692407</v>
      </c>
    </row>
    <row r="12" spans="1:13" ht="12.75" customHeight="1">
      <c r="A12" s="128" t="s">
        <v>748</v>
      </c>
      <c r="B12" s="73"/>
      <c r="C12" s="129">
        <v>2900263</v>
      </c>
      <c r="D12" s="109"/>
      <c r="E12" s="109"/>
      <c r="F12" s="109"/>
      <c r="G12" s="109"/>
      <c r="H12" s="109"/>
      <c r="I12" s="109"/>
      <c r="J12" s="75">
        <f t="shared" si="0"/>
        <v>0</v>
      </c>
      <c r="K12" s="75">
        <f t="shared" si="1"/>
        <v>2900263</v>
      </c>
      <c r="L12" s="109">
        <v>2900263</v>
      </c>
      <c r="M12" s="109">
        <v>2900263</v>
      </c>
    </row>
    <row r="13" spans="1:13" ht="12.75" customHeight="1">
      <c r="A13" s="128" t="s">
        <v>749</v>
      </c>
      <c r="B13" s="73"/>
      <c r="C13" s="129">
        <v>12334795</v>
      </c>
      <c r="D13" s="109"/>
      <c r="E13" s="109"/>
      <c r="F13" s="109"/>
      <c r="G13" s="109"/>
      <c r="H13" s="109"/>
      <c r="I13" s="109"/>
      <c r="J13" s="75">
        <f t="shared" si="0"/>
        <v>0</v>
      </c>
      <c r="K13" s="75">
        <f t="shared" si="1"/>
        <v>12334795</v>
      </c>
      <c r="L13" s="109">
        <v>13074883</v>
      </c>
      <c r="M13" s="109">
        <v>13859376</v>
      </c>
    </row>
    <row r="14" spans="1:13" ht="12.75" customHeight="1">
      <c r="A14" s="162" t="s">
        <v>619</v>
      </c>
      <c r="B14" s="79"/>
      <c r="C14" s="80">
        <f t="shared" ref="C14:M14" si="2">SUM(C8:C13)</f>
        <v>176990298</v>
      </c>
      <c r="D14" s="81">
        <f t="shared" si="2"/>
        <v>0</v>
      </c>
      <c r="E14" s="81">
        <f t="shared" si="2"/>
        <v>0</v>
      </c>
      <c r="F14" s="81">
        <f t="shared" si="2"/>
        <v>0</v>
      </c>
      <c r="G14" s="81">
        <f t="shared" si="2"/>
        <v>0</v>
      </c>
      <c r="H14" s="81">
        <f t="shared" si="2"/>
        <v>0</v>
      </c>
      <c r="I14" s="81">
        <f t="shared" si="2"/>
        <v>-12342983</v>
      </c>
      <c r="J14" s="81">
        <f t="shared" si="2"/>
        <v>-12342983</v>
      </c>
      <c r="K14" s="81">
        <f t="shared" si="2"/>
        <v>164647315</v>
      </c>
      <c r="L14" s="81">
        <f t="shared" si="2"/>
        <v>162910353</v>
      </c>
      <c r="M14" s="82">
        <f t="shared" si="2"/>
        <v>162668209</v>
      </c>
    </row>
    <row r="15" spans="1:13" ht="5.0999999999999996" customHeight="1">
      <c r="A15" s="135"/>
      <c r="B15" s="73"/>
      <c r="C15" s="74"/>
      <c r="D15" s="75"/>
      <c r="E15" s="75"/>
      <c r="F15" s="75"/>
      <c r="G15" s="75"/>
      <c r="H15" s="75"/>
      <c r="I15" s="75"/>
      <c r="J15" s="75"/>
      <c r="K15" s="75"/>
      <c r="L15" s="75"/>
      <c r="M15" s="76"/>
    </row>
    <row r="16" spans="1:13" ht="12.75" customHeight="1">
      <c r="A16" s="138" t="s">
        <v>750</v>
      </c>
      <c r="B16" s="73"/>
      <c r="C16" s="74"/>
      <c r="D16" s="75"/>
      <c r="E16" s="75"/>
      <c r="F16" s="75"/>
      <c r="G16" s="75"/>
      <c r="H16" s="75"/>
      <c r="I16" s="75"/>
      <c r="J16" s="75"/>
      <c r="K16" s="75"/>
      <c r="L16" s="75"/>
      <c r="M16" s="76"/>
    </row>
    <row r="17" spans="1:13" ht="12.75" customHeight="1">
      <c r="A17" s="128" t="s">
        <v>751</v>
      </c>
      <c r="B17" s="73"/>
      <c r="C17" s="129"/>
      <c r="D17" s="109"/>
      <c r="E17" s="109"/>
      <c r="F17" s="109"/>
      <c r="G17" s="109"/>
      <c r="H17" s="109"/>
      <c r="I17" s="109"/>
      <c r="J17" s="75">
        <f t="shared" ref="J17:J25" si="3">SUM(E17:I17)</f>
        <v>0</v>
      </c>
      <c r="K17" s="75">
        <f t="shared" ref="K17:K25" si="4">IF(D17=0,C17+J17,D17+J17)</f>
        <v>0</v>
      </c>
      <c r="L17" s="109"/>
      <c r="M17" s="110"/>
    </row>
    <row r="18" spans="1:13" ht="12.75" customHeight="1">
      <c r="A18" s="128" t="s">
        <v>752</v>
      </c>
      <c r="B18" s="73"/>
      <c r="C18" s="129">
        <v>5895596</v>
      </c>
      <c r="D18" s="109"/>
      <c r="E18" s="109"/>
      <c r="F18" s="109"/>
      <c r="G18" s="109"/>
      <c r="H18" s="109"/>
      <c r="I18" s="109"/>
      <c r="J18" s="75">
        <f t="shared" si="3"/>
        <v>0</v>
      </c>
      <c r="K18" s="75">
        <f t="shared" si="4"/>
        <v>5895596</v>
      </c>
      <c r="L18" s="109">
        <v>6995596</v>
      </c>
      <c r="M18" s="109">
        <v>8095596</v>
      </c>
    </row>
    <row r="19" spans="1:13" ht="12.75" customHeight="1">
      <c r="A19" s="128" t="s">
        <v>753</v>
      </c>
      <c r="B19" s="73"/>
      <c r="C19" s="129">
        <v>208608792</v>
      </c>
      <c r="D19" s="109"/>
      <c r="E19" s="109"/>
      <c r="F19" s="109"/>
      <c r="G19" s="109"/>
      <c r="H19" s="109"/>
      <c r="I19" s="109"/>
      <c r="J19" s="75">
        <f t="shared" si="3"/>
        <v>0</v>
      </c>
      <c r="K19" s="75">
        <f t="shared" si="4"/>
        <v>208608792</v>
      </c>
      <c r="L19" s="109">
        <v>208608792</v>
      </c>
      <c r="M19" s="109">
        <v>208608792</v>
      </c>
    </row>
    <row r="20" spans="1:13" ht="12.75" customHeight="1">
      <c r="A20" s="128" t="s">
        <v>1109</v>
      </c>
      <c r="B20" s="73"/>
      <c r="C20" s="129"/>
      <c r="D20" s="109"/>
      <c r="E20" s="109"/>
      <c r="F20" s="109"/>
      <c r="G20" s="109"/>
      <c r="H20" s="109"/>
      <c r="I20" s="109"/>
      <c r="J20" s="75">
        <f t="shared" si="3"/>
        <v>0</v>
      </c>
      <c r="K20" s="75">
        <f t="shared" si="4"/>
        <v>0</v>
      </c>
      <c r="L20" s="109"/>
      <c r="M20" s="110"/>
    </row>
    <row r="21" spans="1:13" ht="12.75" customHeight="1">
      <c r="A21" s="128" t="s">
        <v>754</v>
      </c>
      <c r="B21" s="73">
        <v>1</v>
      </c>
      <c r="C21" s="130">
        <f>'SB2'!C24</f>
        <v>1782054809</v>
      </c>
      <c r="D21" s="131">
        <f>'SB2'!D24</f>
        <v>0</v>
      </c>
      <c r="E21" s="131">
        <f>'SB2'!E24</f>
        <v>0</v>
      </c>
      <c r="F21" s="131">
        <f>'SB2'!F24</f>
        <v>0</v>
      </c>
      <c r="G21" s="131">
        <f>'SB2'!G24</f>
        <v>0</v>
      </c>
      <c r="H21" s="131">
        <f>'SB2'!H24</f>
        <v>20350000</v>
      </c>
      <c r="I21" s="131">
        <f>'SB2'!I24</f>
        <v>31502614</v>
      </c>
      <c r="J21" s="131">
        <f t="shared" si="3"/>
        <v>51852614</v>
      </c>
      <c r="K21" s="131">
        <f t="shared" si="4"/>
        <v>1833907423</v>
      </c>
      <c r="L21" s="131">
        <f>'SB2'!L24</f>
        <v>1953542485</v>
      </c>
      <c r="M21" s="132">
        <f>'SB2'!M24</f>
        <v>2174267832</v>
      </c>
    </row>
    <row r="22" spans="1:13" ht="12.75" customHeight="1">
      <c r="A22" s="128" t="s">
        <v>755</v>
      </c>
      <c r="B22" s="73"/>
      <c r="C22" s="129"/>
      <c r="D22" s="109"/>
      <c r="E22" s="109"/>
      <c r="F22" s="109"/>
      <c r="G22" s="109"/>
      <c r="H22" s="109"/>
      <c r="I22" s="109"/>
      <c r="J22" s="75">
        <f t="shared" si="3"/>
        <v>0</v>
      </c>
      <c r="K22" s="75">
        <f t="shared" si="4"/>
        <v>0</v>
      </c>
      <c r="L22" s="109"/>
      <c r="M22" s="110"/>
    </row>
    <row r="23" spans="1:13" ht="12.75" customHeight="1">
      <c r="A23" s="128" t="s">
        <v>756</v>
      </c>
      <c r="B23" s="73"/>
      <c r="C23" s="129"/>
      <c r="D23" s="109"/>
      <c r="E23" s="109"/>
      <c r="F23" s="109"/>
      <c r="G23" s="109"/>
      <c r="H23" s="109"/>
      <c r="I23" s="109"/>
      <c r="J23" s="75">
        <f t="shared" si="3"/>
        <v>0</v>
      </c>
      <c r="K23" s="75">
        <f t="shared" si="4"/>
        <v>0</v>
      </c>
      <c r="L23" s="109"/>
      <c r="M23" s="110"/>
    </row>
    <row r="24" spans="1:13" ht="12.75" customHeight="1">
      <c r="A24" s="128" t="s">
        <v>757</v>
      </c>
      <c r="B24" s="73"/>
      <c r="C24" s="129">
        <v>49645</v>
      </c>
      <c r="D24" s="109"/>
      <c r="E24" s="109"/>
      <c r="F24" s="109"/>
      <c r="G24" s="109"/>
      <c r="H24" s="109"/>
      <c r="I24" s="109"/>
      <c r="J24" s="75">
        <f t="shared" si="3"/>
        <v>0</v>
      </c>
      <c r="K24" s="75">
        <f t="shared" si="4"/>
        <v>49645</v>
      </c>
      <c r="L24" s="109">
        <v>49645</v>
      </c>
      <c r="M24" s="109">
        <v>49645</v>
      </c>
    </row>
    <row r="25" spans="1:13" ht="12.75" customHeight="1">
      <c r="A25" s="128" t="s">
        <v>758</v>
      </c>
      <c r="B25" s="73"/>
      <c r="C25" s="129"/>
      <c r="D25" s="109"/>
      <c r="E25" s="109"/>
      <c r="F25" s="109"/>
      <c r="G25" s="109"/>
      <c r="H25" s="109"/>
      <c r="I25" s="109"/>
      <c r="J25" s="75">
        <f t="shared" si="3"/>
        <v>0</v>
      </c>
      <c r="K25" s="75">
        <f t="shared" si="4"/>
        <v>0</v>
      </c>
      <c r="L25" s="109"/>
      <c r="M25" s="110"/>
    </row>
    <row r="26" spans="1:13" ht="12.75" customHeight="1">
      <c r="A26" s="162" t="s">
        <v>620</v>
      </c>
      <c r="B26" s="79"/>
      <c r="C26" s="80">
        <f t="shared" ref="C26:M26" si="5">SUM(C17:C25)</f>
        <v>1996608842</v>
      </c>
      <c r="D26" s="81">
        <f t="shared" si="5"/>
        <v>0</v>
      </c>
      <c r="E26" s="81">
        <f t="shared" si="5"/>
        <v>0</v>
      </c>
      <c r="F26" s="81">
        <f t="shared" si="5"/>
        <v>0</v>
      </c>
      <c r="G26" s="81">
        <f t="shared" si="5"/>
        <v>0</v>
      </c>
      <c r="H26" s="81">
        <f t="shared" si="5"/>
        <v>20350000</v>
      </c>
      <c r="I26" s="81">
        <f t="shared" si="5"/>
        <v>31502614</v>
      </c>
      <c r="J26" s="81">
        <f t="shared" si="5"/>
        <v>51852614</v>
      </c>
      <c r="K26" s="81">
        <f t="shared" si="5"/>
        <v>2048461456</v>
      </c>
      <c r="L26" s="81">
        <f t="shared" si="5"/>
        <v>2169196518</v>
      </c>
      <c r="M26" s="82">
        <f t="shared" si="5"/>
        <v>2391021865</v>
      </c>
    </row>
    <row r="27" spans="1:13" ht="12.75" customHeight="1">
      <c r="A27" s="162" t="s">
        <v>759</v>
      </c>
      <c r="B27" s="79"/>
      <c r="C27" s="80">
        <f t="shared" ref="C27:M27" si="6">C14+C26</f>
        <v>2173599140</v>
      </c>
      <c r="D27" s="81">
        <f t="shared" si="6"/>
        <v>0</v>
      </c>
      <c r="E27" s="81">
        <f t="shared" si="6"/>
        <v>0</v>
      </c>
      <c r="F27" s="81">
        <f t="shared" si="6"/>
        <v>0</v>
      </c>
      <c r="G27" s="81">
        <f t="shared" si="6"/>
        <v>0</v>
      </c>
      <c r="H27" s="81">
        <f t="shared" si="6"/>
        <v>20350000</v>
      </c>
      <c r="I27" s="81">
        <f t="shared" si="6"/>
        <v>19159631</v>
      </c>
      <c r="J27" s="81">
        <f t="shared" si="6"/>
        <v>39509631</v>
      </c>
      <c r="K27" s="81">
        <f t="shared" si="6"/>
        <v>2213108771</v>
      </c>
      <c r="L27" s="81">
        <f t="shared" si="6"/>
        <v>2332106871</v>
      </c>
      <c r="M27" s="82">
        <f t="shared" si="6"/>
        <v>2553690074</v>
      </c>
    </row>
    <row r="28" spans="1:13" ht="5.0999999999999996" customHeight="1">
      <c r="A28" s="135"/>
      <c r="B28" s="73"/>
      <c r="C28" s="74"/>
      <c r="D28" s="75"/>
      <c r="E28" s="75"/>
      <c r="F28" s="75"/>
      <c r="G28" s="75"/>
      <c r="H28" s="75"/>
      <c r="I28" s="75"/>
      <c r="J28" s="75"/>
      <c r="K28" s="75"/>
      <c r="L28" s="75"/>
      <c r="M28" s="76"/>
    </row>
    <row r="29" spans="1:13" ht="12.75" customHeight="1">
      <c r="A29" s="138" t="s">
        <v>760</v>
      </c>
      <c r="B29" s="73"/>
      <c r="C29" s="74"/>
      <c r="D29" s="75"/>
      <c r="E29" s="75"/>
      <c r="F29" s="75"/>
      <c r="G29" s="75"/>
      <c r="H29" s="75"/>
      <c r="I29" s="75"/>
      <c r="J29" s="75"/>
      <c r="K29" s="75"/>
      <c r="L29" s="75"/>
      <c r="M29" s="76"/>
    </row>
    <row r="30" spans="1:13" ht="12.75" customHeight="1">
      <c r="A30" s="138" t="s">
        <v>761</v>
      </c>
      <c r="B30" s="114"/>
      <c r="C30" s="74"/>
      <c r="D30" s="75"/>
      <c r="E30" s="75"/>
      <c r="F30" s="75"/>
      <c r="G30" s="75"/>
      <c r="H30" s="75"/>
      <c r="I30" s="75"/>
      <c r="J30" s="75"/>
      <c r="K30" s="75"/>
      <c r="L30" s="75"/>
      <c r="M30" s="76"/>
    </row>
    <row r="31" spans="1:13" ht="12.75" customHeight="1">
      <c r="A31" s="128" t="s">
        <v>762</v>
      </c>
      <c r="B31" s="73"/>
      <c r="C31" s="129"/>
      <c r="D31" s="109"/>
      <c r="E31" s="109"/>
      <c r="F31" s="109"/>
      <c r="G31" s="109"/>
      <c r="H31" s="109"/>
      <c r="I31" s="109"/>
      <c r="J31" s="75">
        <f>SUM(E31:I31)</f>
        <v>0</v>
      </c>
      <c r="K31" s="75">
        <f>IF(D31=0,C31+J31,D31+J31)</f>
        <v>0</v>
      </c>
      <c r="L31" s="109"/>
      <c r="M31" s="110"/>
    </row>
    <row r="32" spans="1:13" ht="12.75" customHeight="1">
      <c r="A32" s="128" t="s">
        <v>615</v>
      </c>
      <c r="B32" s="73"/>
      <c r="C32" s="130">
        <f>'SB2'!C30</f>
        <v>11790493</v>
      </c>
      <c r="D32" s="131">
        <f>'SB2'!D30</f>
        <v>0</v>
      </c>
      <c r="E32" s="131">
        <f>'SB2'!E30</f>
        <v>0</v>
      </c>
      <c r="F32" s="131">
        <f>'SB2'!F30</f>
        <v>0</v>
      </c>
      <c r="G32" s="131">
        <f>'SB2'!G30</f>
        <v>0</v>
      </c>
      <c r="H32" s="131">
        <f>'SB2'!H30</f>
        <v>0</v>
      </c>
      <c r="I32" s="131">
        <f>'SB2'!I30</f>
        <v>0</v>
      </c>
      <c r="J32" s="131">
        <f>SUM(E32:I32)</f>
        <v>0</v>
      </c>
      <c r="K32" s="131">
        <f>IF(D32=0,C32+J32,D32+J32)</f>
        <v>11790493</v>
      </c>
      <c r="L32" s="131">
        <f>'SB2'!L30</f>
        <v>12618493</v>
      </c>
      <c r="M32" s="132">
        <f>'SB2'!M30</f>
        <v>13646493</v>
      </c>
    </row>
    <row r="33" spans="1:13" ht="12.75" customHeight="1">
      <c r="A33" s="128" t="s">
        <v>763</v>
      </c>
      <c r="B33" s="73"/>
      <c r="C33" s="1171">
        <v>19380000</v>
      </c>
      <c r="D33" s="1170"/>
      <c r="E33" s="1172"/>
      <c r="F33" s="109"/>
      <c r="G33" s="109"/>
      <c r="H33" s="109"/>
      <c r="I33" s="109"/>
      <c r="J33" s="75">
        <f>SUM(E33:I33)</f>
        <v>0</v>
      </c>
      <c r="K33" s="75">
        <f>IF(D33=0,C33+J33,D33+J33)</f>
        <v>19380000</v>
      </c>
      <c r="L33" s="1170">
        <v>19767600</v>
      </c>
      <c r="M33" s="1172">
        <v>20162952</v>
      </c>
    </row>
    <row r="34" spans="1:13" ht="12.75" customHeight="1">
      <c r="A34" s="128" t="s">
        <v>764</v>
      </c>
      <c r="B34" s="73"/>
      <c r="C34" s="130">
        <f>'SB2'!C35</f>
        <v>139221154</v>
      </c>
      <c r="D34" s="131">
        <f>'SB2'!D35</f>
        <v>0</v>
      </c>
      <c r="E34" s="131">
        <f>'SB2'!E35</f>
        <v>0</v>
      </c>
      <c r="F34" s="131">
        <f>'SB2'!F35</f>
        <v>0</v>
      </c>
      <c r="G34" s="131">
        <f>'SB2'!G35</f>
        <v>0</v>
      </c>
      <c r="H34" s="131">
        <f>'SB2'!H35</f>
        <v>0</v>
      </c>
      <c r="I34" s="131">
        <f>'SB2'!I35</f>
        <v>20969000</v>
      </c>
      <c r="J34" s="131">
        <f>SUM(E34:I34)</f>
        <v>20969000</v>
      </c>
      <c r="K34" s="131">
        <f>IF(D34=0,C34+J34,D34+J34)</f>
        <v>160190154</v>
      </c>
      <c r="L34" s="131">
        <f>'SB2'!L35</f>
        <v>163741833</v>
      </c>
      <c r="M34" s="132">
        <f>'SB2'!M35</f>
        <v>167400277</v>
      </c>
    </row>
    <row r="35" spans="1:13" ht="12.75" customHeight="1">
      <c r="A35" s="128" t="s">
        <v>765</v>
      </c>
      <c r="B35" s="73"/>
      <c r="C35" s="129">
        <v>2403820</v>
      </c>
      <c r="D35" s="109"/>
      <c r="E35" s="109"/>
      <c r="F35" s="109"/>
      <c r="G35" s="109"/>
      <c r="H35" s="109"/>
      <c r="I35" s="109"/>
      <c r="J35" s="75">
        <f>SUM(E35:I35)</f>
        <v>0</v>
      </c>
      <c r="K35" s="75">
        <f>IF(D35=0,C35+J35,D35+J35)</f>
        <v>2403820</v>
      </c>
      <c r="L35" s="109">
        <v>2548049</v>
      </c>
      <c r="M35" s="109">
        <v>2700932</v>
      </c>
    </row>
    <row r="36" spans="1:13" ht="12.75" customHeight="1">
      <c r="A36" s="162" t="s">
        <v>621</v>
      </c>
      <c r="B36" s="79"/>
      <c r="C36" s="80">
        <f t="shared" ref="C36:M36" si="7">SUM(C31:C35)</f>
        <v>172795467</v>
      </c>
      <c r="D36" s="81">
        <f t="shared" si="7"/>
        <v>0</v>
      </c>
      <c r="E36" s="81">
        <f t="shared" si="7"/>
        <v>0</v>
      </c>
      <c r="F36" s="81">
        <f t="shared" si="7"/>
        <v>0</v>
      </c>
      <c r="G36" s="81">
        <f t="shared" si="7"/>
        <v>0</v>
      </c>
      <c r="H36" s="81">
        <f t="shared" si="7"/>
        <v>0</v>
      </c>
      <c r="I36" s="81">
        <f t="shared" si="7"/>
        <v>20969000</v>
      </c>
      <c r="J36" s="81">
        <f t="shared" si="7"/>
        <v>20969000</v>
      </c>
      <c r="K36" s="81">
        <f t="shared" si="7"/>
        <v>193764467</v>
      </c>
      <c r="L36" s="81">
        <f t="shared" si="7"/>
        <v>198675975</v>
      </c>
      <c r="M36" s="82">
        <f t="shared" si="7"/>
        <v>203910654</v>
      </c>
    </row>
    <row r="37" spans="1:13" ht="5.0999999999999996" customHeight="1">
      <c r="A37" s="135"/>
      <c r="B37" s="73"/>
      <c r="C37" s="74"/>
      <c r="D37" s="75"/>
      <c r="E37" s="75"/>
      <c r="F37" s="75"/>
      <c r="G37" s="75"/>
      <c r="H37" s="75"/>
      <c r="I37" s="75"/>
      <c r="J37" s="75"/>
      <c r="K37" s="75"/>
      <c r="L37" s="75"/>
      <c r="M37" s="76"/>
    </row>
    <row r="38" spans="1:13" ht="12.75" customHeight="1">
      <c r="A38" s="138" t="s">
        <v>766</v>
      </c>
      <c r="B38" s="73"/>
      <c r="C38" s="74"/>
      <c r="D38" s="75"/>
      <c r="E38" s="75"/>
      <c r="F38" s="75"/>
      <c r="G38" s="75"/>
      <c r="H38" s="75"/>
      <c r="I38" s="75"/>
      <c r="J38" s="75"/>
      <c r="K38" s="75"/>
      <c r="L38" s="75"/>
      <c r="M38" s="76"/>
    </row>
    <row r="39" spans="1:13" ht="12.75" customHeight="1">
      <c r="A39" s="128" t="s">
        <v>615</v>
      </c>
      <c r="B39" s="73">
        <v>1</v>
      </c>
      <c r="C39" s="130">
        <f>'SB2'!C39</f>
        <v>124440214</v>
      </c>
      <c r="D39" s="131">
        <f>'SB2'!D39</f>
        <v>0</v>
      </c>
      <c r="E39" s="131">
        <f>'SB2'!E39</f>
        <v>0</v>
      </c>
      <c r="F39" s="131">
        <f>'SB2'!F39</f>
        <v>0</v>
      </c>
      <c r="G39" s="131">
        <f>'SB2'!G39</f>
        <v>0</v>
      </c>
      <c r="H39" s="131">
        <f>'SB2'!H39</f>
        <v>0</v>
      </c>
      <c r="I39" s="131">
        <f>'SB2'!I39</f>
        <v>0</v>
      </c>
      <c r="J39" s="131">
        <f>SUM(E39:I39)</f>
        <v>0</v>
      </c>
      <c r="K39" s="131">
        <f>IF(D39=0,C39+J39,D39+J39)</f>
        <v>124440214</v>
      </c>
      <c r="L39" s="131">
        <f>'SB2'!L39</f>
        <v>112087026</v>
      </c>
      <c r="M39" s="132">
        <f>'SB2'!M39</f>
        <v>98721756</v>
      </c>
    </row>
    <row r="40" spans="1:13" ht="12.75" customHeight="1">
      <c r="A40" s="128" t="s">
        <v>765</v>
      </c>
      <c r="B40" s="73">
        <v>1</v>
      </c>
      <c r="C40" s="130">
        <f>'SB2'!C45</f>
        <v>59285975</v>
      </c>
      <c r="D40" s="131">
        <f>'SB2'!D45</f>
        <v>0</v>
      </c>
      <c r="E40" s="131">
        <f>'SB2'!E45</f>
        <v>0</v>
      </c>
      <c r="F40" s="131">
        <f>'SB2'!F45</f>
        <v>0</v>
      </c>
      <c r="G40" s="131">
        <f>'SB2'!G45</f>
        <v>0</v>
      </c>
      <c r="H40" s="131">
        <f>'SB2'!H45</f>
        <v>0</v>
      </c>
      <c r="I40" s="131">
        <f>'SB2'!I45</f>
        <v>0</v>
      </c>
      <c r="J40" s="131">
        <f>SUM(E40:I40)</f>
        <v>0</v>
      </c>
      <c r="K40" s="131">
        <f>IF(D40=0,C40+J40,D40+J40)</f>
        <v>59285975</v>
      </c>
      <c r="L40" s="131">
        <f>'SB2'!L45</f>
        <v>62843133</v>
      </c>
      <c r="M40" s="132">
        <f>'SB2'!M45</f>
        <v>66613721</v>
      </c>
    </row>
    <row r="41" spans="1:13" ht="12.75" customHeight="1">
      <c r="A41" s="162" t="s">
        <v>622</v>
      </c>
      <c r="B41" s="79"/>
      <c r="C41" s="80">
        <f t="shared" ref="C41:M41" si="8">SUM(C39:C40)</f>
        <v>183726189</v>
      </c>
      <c r="D41" s="81">
        <f t="shared" si="8"/>
        <v>0</v>
      </c>
      <c r="E41" s="81">
        <f t="shared" si="8"/>
        <v>0</v>
      </c>
      <c r="F41" s="81">
        <f t="shared" si="8"/>
        <v>0</v>
      </c>
      <c r="G41" s="81">
        <f t="shared" si="8"/>
        <v>0</v>
      </c>
      <c r="H41" s="81">
        <f t="shared" si="8"/>
        <v>0</v>
      </c>
      <c r="I41" s="81">
        <f t="shared" si="8"/>
        <v>0</v>
      </c>
      <c r="J41" s="81">
        <f t="shared" si="8"/>
        <v>0</v>
      </c>
      <c r="K41" s="81">
        <f t="shared" si="8"/>
        <v>183726189</v>
      </c>
      <c r="L41" s="81">
        <f t="shared" si="8"/>
        <v>174930159</v>
      </c>
      <c r="M41" s="82">
        <f t="shared" si="8"/>
        <v>165335477</v>
      </c>
    </row>
    <row r="42" spans="1:13" ht="12.75" customHeight="1">
      <c r="A42" s="162" t="s">
        <v>767</v>
      </c>
      <c r="B42" s="79"/>
      <c r="C42" s="80">
        <f t="shared" ref="C42:M42" si="9">C36+C41</f>
        <v>356521656</v>
      </c>
      <c r="D42" s="81">
        <f t="shared" si="9"/>
        <v>0</v>
      </c>
      <c r="E42" s="81">
        <f t="shared" si="9"/>
        <v>0</v>
      </c>
      <c r="F42" s="81">
        <f t="shared" si="9"/>
        <v>0</v>
      </c>
      <c r="G42" s="81">
        <f t="shared" si="9"/>
        <v>0</v>
      </c>
      <c r="H42" s="81">
        <f t="shared" si="9"/>
        <v>0</v>
      </c>
      <c r="I42" s="81">
        <f t="shared" si="9"/>
        <v>20969000</v>
      </c>
      <c r="J42" s="81">
        <f t="shared" si="9"/>
        <v>20969000</v>
      </c>
      <c r="K42" s="81">
        <f t="shared" si="9"/>
        <v>377490656</v>
      </c>
      <c r="L42" s="81">
        <f t="shared" si="9"/>
        <v>373606134</v>
      </c>
      <c r="M42" s="82">
        <f t="shared" si="9"/>
        <v>369246131</v>
      </c>
    </row>
    <row r="43" spans="1:13" s="48" customFormat="1" ht="5.0999999999999996" customHeight="1">
      <c r="A43" s="135"/>
      <c r="B43" s="73"/>
      <c r="C43" s="74"/>
      <c r="D43" s="75"/>
      <c r="E43" s="75"/>
      <c r="F43" s="75"/>
      <c r="G43" s="75"/>
      <c r="H43" s="75"/>
      <c r="I43" s="75"/>
      <c r="J43" s="75"/>
      <c r="K43" s="75"/>
      <c r="L43" s="75"/>
      <c r="M43" s="76"/>
    </row>
    <row r="44" spans="1:13" ht="12.75" customHeight="1">
      <c r="A44" s="305" t="s">
        <v>768</v>
      </c>
      <c r="B44" s="153">
        <v>2</v>
      </c>
      <c r="C44" s="537">
        <f t="shared" ref="C44:M44" si="10">C27-C42</f>
        <v>1817077484</v>
      </c>
      <c r="D44" s="237">
        <f t="shared" si="10"/>
        <v>0</v>
      </c>
      <c r="E44" s="237">
        <f t="shared" si="10"/>
        <v>0</v>
      </c>
      <c r="F44" s="237">
        <f t="shared" si="10"/>
        <v>0</v>
      </c>
      <c r="G44" s="237">
        <f t="shared" si="10"/>
        <v>0</v>
      </c>
      <c r="H44" s="237">
        <f t="shared" si="10"/>
        <v>20350000</v>
      </c>
      <c r="I44" s="237">
        <f t="shared" si="10"/>
        <v>-1809369</v>
      </c>
      <c r="J44" s="237">
        <f t="shared" si="10"/>
        <v>18540631</v>
      </c>
      <c r="K44" s="237">
        <f t="shared" si="10"/>
        <v>1835618115</v>
      </c>
      <c r="L44" s="237">
        <f t="shared" si="10"/>
        <v>1958500737</v>
      </c>
      <c r="M44" s="238">
        <f t="shared" si="10"/>
        <v>2184443943</v>
      </c>
    </row>
    <row r="45" spans="1:13" ht="5.0999999999999996" customHeight="1">
      <c r="A45" s="135"/>
      <c r="B45" s="73"/>
      <c r="C45" s="74"/>
      <c r="D45" s="75"/>
      <c r="E45" s="75"/>
      <c r="F45" s="75"/>
      <c r="G45" s="75"/>
      <c r="H45" s="75"/>
      <c r="I45" s="75"/>
      <c r="J45" s="75"/>
      <c r="K45" s="75"/>
      <c r="L45" s="75"/>
      <c r="M45" s="76"/>
    </row>
    <row r="46" spans="1:13" ht="12.75" customHeight="1">
      <c r="A46" s="138" t="s">
        <v>769</v>
      </c>
      <c r="B46" s="73"/>
      <c r="C46" s="74"/>
      <c r="D46" s="75"/>
      <c r="E46" s="75"/>
      <c r="F46" s="75"/>
      <c r="G46" s="75"/>
      <c r="H46" s="75"/>
      <c r="I46" s="75"/>
      <c r="J46" s="75"/>
      <c r="K46" s="75"/>
      <c r="L46" s="75"/>
      <c r="M46" s="76"/>
    </row>
    <row r="47" spans="1:13" ht="12.75" customHeight="1">
      <c r="A47" s="128" t="s">
        <v>770</v>
      </c>
      <c r="B47" s="73"/>
      <c r="C47" s="130">
        <f>'SB2'!C54</f>
        <v>1817077484</v>
      </c>
      <c r="D47" s="131">
        <f>'SB2'!D54</f>
        <v>0</v>
      </c>
      <c r="E47" s="131">
        <f>'SB2'!E54</f>
        <v>0</v>
      </c>
      <c r="F47" s="131">
        <f>'SB2'!F54</f>
        <v>0</v>
      </c>
      <c r="G47" s="131">
        <f>'SB2'!G54</f>
        <v>0</v>
      </c>
      <c r="H47" s="131">
        <f>'SB2'!H54</f>
        <v>20350000</v>
      </c>
      <c r="I47" s="131">
        <f>'SB2'!I54</f>
        <v>-1809369</v>
      </c>
      <c r="J47" s="131">
        <f>SUM(E47:I47)</f>
        <v>18540631</v>
      </c>
      <c r="K47" s="131">
        <f>IF(D47=0,C47+J47,D47+J47)</f>
        <v>1835618115</v>
      </c>
      <c r="L47" s="131">
        <f>'SB2'!L54</f>
        <v>1958500737</v>
      </c>
      <c r="M47" s="132">
        <f>'SB2'!M54</f>
        <v>2209290508</v>
      </c>
    </row>
    <row r="48" spans="1:13" ht="12.75" customHeight="1">
      <c r="A48" s="128" t="s">
        <v>771</v>
      </c>
      <c r="B48" s="73"/>
      <c r="C48" s="130">
        <f>'SB2'!C61</f>
        <v>0</v>
      </c>
      <c r="D48" s="131">
        <f>'SB2'!D61</f>
        <v>0</v>
      </c>
      <c r="E48" s="131">
        <f>'SB2'!E61</f>
        <v>0</v>
      </c>
      <c r="F48" s="131">
        <f>'SB2'!F61</f>
        <v>0</v>
      </c>
      <c r="G48" s="131">
        <f>'SB2'!G61</f>
        <v>0</v>
      </c>
      <c r="H48" s="131">
        <f>'SB2'!H61</f>
        <v>0</v>
      </c>
      <c r="I48" s="131">
        <f>'SB2'!I61</f>
        <v>0</v>
      </c>
      <c r="J48" s="131">
        <f>SUM(E48:I48)</f>
        <v>0</v>
      </c>
      <c r="K48" s="131">
        <f>IF(D48=0,C48+J48,D48+J48)</f>
        <v>0</v>
      </c>
      <c r="L48" s="131">
        <f>'SB2'!L61</f>
        <v>0</v>
      </c>
      <c r="M48" s="132">
        <f>'SB2'!M61</f>
        <v>0</v>
      </c>
    </row>
    <row r="49" spans="1:13" ht="12.75" customHeight="1">
      <c r="A49" s="154" t="s">
        <v>772</v>
      </c>
      <c r="B49" s="155"/>
      <c r="C49" s="156">
        <f t="shared" ref="C49:M49" si="11">SUM(C47:C48)</f>
        <v>1817077484</v>
      </c>
      <c r="D49" s="116">
        <f t="shared" si="11"/>
        <v>0</v>
      </c>
      <c r="E49" s="116">
        <f t="shared" si="11"/>
        <v>0</v>
      </c>
      <c r="F49" s="116">
        <f t="shared" si="11"/>
        <v>0</v>
      </c>
      <c r="G49" s="116">
        <f t="shared" si="11"/>
        <v>0</v>
      </c>
      <c r="H49" s="116">
        <f t="shared" si="11"/>
        <v>20350000</v>
      </c>
      <c r="I49" s="116">
        <f t="shared" si="11"/>
        <v>-1809369</v>
      </c>
      <c r="J49" s="116">
        <f t="shared" si="11"/>
        <v>18540631</v>
      </c>
      <c r="K49" s="116">
        <f t="shared" si="11"/>
        <v>1835618115</v>
      </c>
      <c r="L49" s="116">
        <f t="shared" si="11"/>
        <v>1958500737</v>
      </c>
      <c r="M49" s="117">
        <f t="shared" si="11"/>
        <v>2209290508</v>
      </c>
    </row>
    <row r="50" spans="1:13" ht="12.75" customHeight="1">
      <c r="A50" s="157" t="str">
        <f>head27a</f>
        <v>References</v>
      </c>
      <c r="B50" s="93"/>
      <c r="C50" s="96"/>
      <c r="D50" s="96"/>
      <c r="E50" s="96"/>
      <c r="F50" s="96"/>
      <c r="G50" s="96"/>
      <c r="H50" s="96"/>
      <c r="I50" s="96"/>
      <c r="J50" s="96"/>
      <c r="K50" s="96"/>
      <c r="L50" s="96"/>
      <c r="M50" s="96"/>
    </row>
    <row r="51" spans="1:13" ht="12.75" customHeight="1">
      <c r="A51" s="99" t="s">
        <v>1186</v>
      </c>
      <c r="B51" s="99"/>
      <c r="C51" s="99"/>
      <c r="D51" s="99"/>
      <c r="E51" s="99"/>
      <c r="F51" s="99"/>
      <c r="G51" s="99"/>
      <c r="H51" s="99"/>
      <c r="I51" s="99"/>
      <c r="J51" s="99"/>
      <c r="K51" s="99"/>
      <c r="L51" s="99"/>
      <c r="M51" s="99"/>
    </row>
    <row r="52" spans="1:13" ht="12.75" customHeight="1">
      <c r="A52" s="99" t="s">
        <v>774</v>
      </c>
      <c r="B52" s="100"/>
      <c r="C52" s="100"/>
      <c r="D52" s="100"/>
      <c r="E52" s="100"/>
      <c r="F52" s="100"/>
      <c r="G52" s="100"/>
      <c r="H52" s="100"/>
      <c r="I52" s="100"/>
      <c r="J52" s="100"/>
      <c r="K52" s="100"/>
      <c r="L52" s="100"/>
      <c r="M52" s="100"/>
    </row>
    <row r="53" spans="1:13" ht="12.75" customHeight="1">
      <c r="A53" s="1324" t="s">
        <v>1106</v>
      </c>
      <c r="B53" s="1324"/>
      <c r="C53" s="1324"/>
      <c r="D53" s="1324"/>
      <c r="E53" s="1324"/>
      <c r="F53" s="1324"/>
      <c r="G53" s="1324"/>
      <c r="H53" s="1324"/>
      <c r="I53" s="1324"/>
      <c r="J53" s="1324"/>
      <c r="K53" s="1324"/>
      <c r="L53" s="1324"/>
      <c r="M53" s="1324"/>
    </row>
    <row r="54" spans="1:13" ht="25.5" customHeight="1">
      <c r="A54" s="1324" t="s">
        <v>1175</v>
      </c>
      <c r="B54" s="1324"/>
      <c r="C54" s="1324"/>
      <c r="D54" s="1324"/>
      <c r="E54" s="1324"/>
      <c r="F54" s="1324"/>
      <c r="G54" s="1324"/>
      <c r="H54" s="1324"/>
      <c r="I54" s="1324"/>
      <c r="J54" s="1324"/>
      <c r="K54" s="1324"/>
      <c r="L54" s="1324"/>
      <c r="M54" s="1324"/>
    </row>
    <row r="55" spans="1:13" ht="12.75" customHeight="1">
      <c r="A55" s="1318" t="s">
        <v>1176</v>
      </c>
      <c r="B55" s="1318"/>
      <c r="C55" s="1318"/>
      <c r="D55" s="1318"/>
      <c r="E55" s="1318"/>
      <c r="F55" s="1318"/>
      <c r="G55" s="1318"/>
      <c r="H55" s="1318"/>
      <c r="I55" s="1318"/>
      <c r="J55" s="1318"/>
      <c r="K55" s="1318"/>
      <c r="L55" s="1318"/>
      <c r="M55" s="1318"/>
    </row>
    <row r="56" spans="1:13" ht="12.75" customHeight="1">
      <c r="A56" s="1318" t="s">
        <v>1177</v>
      </c>
      <c r="B56" s="1318"/>
      <c r="C56" s="1318"/>
      <c r="D56" s="1318"/>
      <c r="E56" s="1318"/>
      <c r="F56" s="1318"/>
      <c r="G56" s="1318"/>
      <c r="H56" s="1318"/>
      <c r="I56" s="1318"/>
      <c r="J56" s="1318"/>
      <c r="K56" s="1318"/>
      <c r="L56" s="1318"/>
      <c r="M56" s="1318"/>
    </row>
    <row r="57" spans="1:13" ht="12.75" customHeight="1">
      <c r="A57" s="99" t="s">
        <v>1178</v>
      </c>
      <c r="B57" s="159"/>
      <c r="C57" s="96"/>
      <c r="D57" s="96"/>
      <c r="E57" s="96"/>
      <c r="F57" s="96"/>
      <c r="G57" s="96"/>
      <c r="H57" s="96"/>
      <c r="I57" s="96"/>
      <c r="J57" s="96"/>
      <c r="K57" s="96"/>
      <c r="L57" s="96"/>
      <c r="M57" s="96"/>
    </row>
    <row r="58" spans="1:13" ht="27.75" customHeight="1">
      <c r="A58" s="1318" t="s">
        <v>1179</v>
      </c>
      <c r="B58" s="1318"/>
      <c r="C58" s="1318"/>
      <c r="D58" s="1318"/>
      <c r="E58" s="1318"/>
      <c r="F58" s="1318"/>
      <c r="G58" s="1318"/>
      <c r="H58" s="1318"/>
      <c r="I58" s="1318"/>
      <c r="J58" s="1318"/>
      <c r="K58" s="1318"/>
      <c r="L58" s="1318"/>
      <c r="M58" s="1318"/>
    </row>
    <row r="59" spans="1:13" ht="12.75" customHeight="1">
      <c r="A59" s="99" t="s">
        <v>648</v>
      </c>
      <c r="B59" s="93"/>
      <c r="C59" s="96"/>
      <c r="D59" s="96"/>
      <c r="E59" s="96"/>
      <c r="F59" s="96"/>
      <c r="G59" s="96"/>
      <c r="H59" s="96"/>
      <c r="I59" s="96"/>
      <c r="J59" s="96"/>
      <c r="K59" s="96"/>
      <c r="L59" s="96"/>
      <c r="M59" s="96"/>
    </row>
    <row r="60" spans="1:13" ht="12.75" customHeight="1">
      <c r="A60" s="1318" t="s">
        <v>649</v>
      </c>
      <c r="B60" s="1318"/>
      <c r="C60" s="1318"/>
      <c r="D60" s="1318"/>
      <c r="E60" s="1318"/>
      <c r="F60" s="1318"/>
      <c r="G60" s="1318"/>
      <c r="H60" s="1318"/>
      <c r="I60" s="1318"/>
      <c r="J60" s="1318"/>
      <c r="K60" s="1318"/>
      <c r="L60" s="1318"/>
      <c r="M60" s="1318"/>
    </row>
    <row r="61" spans="1:13" ht="11.25" customHeight="1">
      <c r="A61" s="48"/>
      <c r="B61" s="120"/>
      <c r="C61" s="53"/>
      <c r="D61" s="53"/>
      <c r="E61" s="53"/>
      <c r="F61" s="53"/>
      <c r="G61" s="53"/>
      <c r="H61" s="53"/>
      <c r="I61" s="53"/>
      <c r="J61" s="53"/>
      <c r="K61" s="53"/>
      <c r="L61" s="53"/>
      <c r="M61" s="53"/>
    </row>
    <row r="62" spans="1:13" ht="11.25" customHeight="1">
      <c r="A62" s="121" t="s">
        <v>726</v>
      </c>
      <c r="B62" s="93"/>
      <c r="C62" s="102">
        <f t="shared" ref="C62:L62" si="12">C44-C49</f>
        <v>0</v>
      </c>
      <c r="D62" s="102">
        <f t="shared" si="12"/>
        <v>0</v>
      </c>
      <c r="E62" s="102">
        <f t="shared" si="12"/>
        <v>0</v>
      </c>
      <c r="F62" s="102">
        <f t="shared" si="12"/>
        <v>0</v>
      </c>
      <c r="G62" s="102">
        <f t="shared" si="12"/>
        <v>0</v>
      </c>
      <c r="H62" s="102">
        <f t="shared" si="12"/>
        <v>0</v>
      </c>
      <c r="I62" s="102">
        <f t="shared" si="12"/>
        <v>0</v>
      </c>
      <c r="J62" s="102">
        <f t="shared" si="12"/>
        <v>0</v>
      </c>
      <c r="K62" s="102">
        <f t="shared" si="12"/>
        <v>0</v>
      </c>
      <c r="L62" s="102">
        <f t="shared" si="12"/>
        <v>0</v>
      </c>
      <c r="M62" s="102">
        <f>K44-K49</f>
        <v>0</v>
      </c>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sheetData>
  <mergeCells count="9">
    <mergeCell ref="C2:K2"/>
    <mergeCell ref="A2:A4"/>
    <mergeCell ref="B2:B4"/>
    <mergeCell ref="A60:M60"/>
    <mergeCell ref="A56:M56"/>
    <mergeCell ref="A58:M58"/>
    <mergeCell ref="A54:M54"/>
    <mergeCell ref="A55:M55"/>
    <mergeCell ref="A53:M53"/>
  </mergeCells>
  <phoneticPr fontId="17"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87" enableFormatConditionsCalculation="0">
    <tabColor indexed="44"/>
    <pageSetUpPr fitToPage="1"/>
  </sheetPr>
  <dimension ref="A1:U130"/>
  <sheetViews>
    <sheetView showGridLines="0" workbookViewId="0">
      <pane xSplit="2" ySplit="5" topLeftCell="C21" activePane="bottomRight" state="frozen"/>
      <selection activeCell="M17" sqref="M17:M63"/>
      <selection pane="topRight" activeCell="M17" sqref="M17:M63"/>
      <selection pane="bottomLeft" activeCell="M17" sqref="M17:M63"/>
      <selection pane="bottomRight" activeCell="L31" sqref="L31"/>
    </sheetView>
  </sheetViews>
  <sheetFormatPr defaultRowHeight="12.7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c r="A1" s="57" t="str">
        <f>muni&amp;" - "&amp;_ADJ7&amp;" - "&amp;Date</f>
        <v>LIM333 Greater Tzaneen - Table B7 Consolidated Adjustments Budget Cash Flows - 26 FEBRUARY 2014</v>
      </c>
      <c r="B1" s="5"/>
      <c r="C1" s="58"/>
    </row>
    <row r="2" spans="1:21"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21"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323"/>
      <c r="B4" s="1323"/>
      <c r="C4" s="65"/>
      <c r="D4" s="15">
        <v>3</v>
      </c>
      <c r="E4" s="15">
        <v>4</v>
      </c>
      <c r="F4" s="15">
        <v>5</v>
      </c>
      <c r="G4" s="15">
        <v>6</v>
      </c>
      <c r="H4" s="15">
        <v>7</v>
      </c>
      <c r="I4" s="15">
        <v>8</v>
      </c>
      <c r="J4" s="15">
        <v>9</v>
      </c>
      <c r="K4" s="15">
        <v>10</v>
      </c>
      <c r="L4" s="15"/>
      <c r="M4" s="17"/>
    </row>
    <row r="5" spans="1:21" ht="13.5">
      <c r="A5" s="66" t="s">
        <v>643</v>
      </c>
      <c r="B5" s="104"/>
      <c r="C5" s="67" t="s">
        <v>583</v>
      </c>
      <c r="D5" s="68" t="s">
        <v>584</v>
      </c>
      <c r="E5" s="68" t="s">
        <v>585</v>
      </c>
      <c r="F5" s="69" t="s">
        <v>586</v>
      </c>
      <c r="G5" s="69" t="s">
        <v>587</v>
      </c>
      <c r="H5" s="69" t="s">
        <v>588</v>
      </c>
      <c r="I5" s="70" t="s">
        <v>589</v>
      </c>
      <c r="J5" s="70" t="s">
        <v>590</v>
      </c>
      <c r="K5" s="70" t="s">
        <v>591</v>
      </c>
      <c r="L5" s="70"/>
      <c r="M5" s="71"/>
      <c r="N5"/>
      <c r="O5"/>
      <c r="P5"/>
      <c r="Q5"/>
      <c r="R5"/>
      <c r="S5"/>
      <c r="T5"/>
      <c r="U5"/>
    </row>
    <row r="6" spans="1:21" ht="12.75" customHeight="1">
      <c r="A6" s="138" t="s">
        <v>775</v>
      </c>
      <c r="B6" s="73"/>
      <c r="C6" s="74"/>
      <c r="D6" s="75"/>
      <c r="E6" s="75"/>
      <c r="F6" s="75"/>
      <c r="G6" s="75"/>
      <c r="H6" s="75"/>
      <c r="I6" s="75"/>
      <c r="J6" s="75"/>
      <c r="K6" s="75"/>
      <c r="L6" s="75"/>
      <c r="M6" s="76"/>
      <c r="N6"/>
      <c r="O6"/>
      <c r="P6"/>
      <c r="Q6"/>
      <c r="R6"/>
      <c r="S6"/>
      <c r="T6"/>
      <c r="U6"/>
    </row>
    <row r="7" spans="1:21" ht="12.75" customHeight="1">
      <c r="A7" s="138" t="s">
        <v>776</v>
      </c>
      <c r="B7" s="73"/>
      <c r="C7" s="74"/>
      <c r="D7" s="75"/>
      <c r="E7" s="75"/>
      <c r="F7" s="75"/>
      <c r="G7" s="75"/>
      <c r="H7" s="75"/>
      <c r="I7" s="75"/>
      <c r="J7" s="75"/>
      <c r="K7" s="75"/>
      <c r="L7" s="75"/>
      <c r="M7" s="76"/>
      <c r="N7"/>
      <c r="O7"/>
      <c r="P7"/>
      <c r="Q7"/>
      <c r="R7"/>
      <c r="S7"/>
      <c r="T7"/>
      <c r="U7"/>
    </row>
    <row r="8" spans="1:21" ht="12.75" customHeight="1">
      <c r="A8" s="128" t="s">
        <v>777</v>
      </c>
      <c r="B8" s="73"/>
      <c r="C8" s="1269">
        <v>939801047</v>
      </c>
      <c r="D8" s="1269"/>
      <c r="E8" s="1268"/>
      <c r="F8" s="1270"/>
      <c r="G8" s="109"/>
      <c r="H8" s="109"/>
      <c r="I8" s="109">
        <f>-352591000+8447000+5500000</f>
        <v>-338644000</v>
      </c>
      <c r="J8" s="75">
        <f>SUM(E8:I8)</f>
        <v>-338644000</v>
      </c>
      <c r="K8" s="75">
        <f>IF(D8=0,C8+J8,D8+J8)</f>
        <v>601157047</v>
      </c>
      <c r="L8" s="1268">
        <f>588152000+6500000</f>
        <v>594652000</v>
      </c>
      <c r="M8" s="1270">
        <f>616311321+7000000</f>
        <v>623311321</v>
      </c>
      <c r="N8"/>
      <c r="O8"/>
      <c r="P8"/>
      <c r="Q8"/>
      <c r="R8"/>
      <c r="S8"/>
      <c r="T8"/>
      <c r="U8"/>
    </row>
    <row r="9" spans="1:21" ht="12.75" customHeight="1">
      <c r="A9" s="128" t="s">
        <v>778</v>
      </c>
      <c r="B9" s="73">
        <v>1</v>
      </c>
      <c r="C9" s="129"/>
      <c r="D9" s="1269"/>
      <c r="E9" s="1268"/>
      <c r="F9" s="1270"/>
      <c r="G9" s="109"/>
      <c r="H9" s="109"/>
      <c r="I9" s="129">
        <v>268273459</v>
      </c>
      <c r="J9" s="75">
        <f>SUM(E9:I9)</f>
        <v>268273459</v>
      </c>
      <c r="K9" s="75">
        <f>IF(D9=0,C9+J9,D9+J9)</f>
        <v>268273459</v>
      </c>
      <c r="L9" s="109">
        <v>297932766</v>
      </c>
      <c r="M9" s="110">
        <v>353745899</v>
      </c>
      <c r="N9"/>
      <c r="O9"/>
      <c r="P9"/>
      <c r="Q9"/>
      <c r="R9"/>
      <c r="S9"/>
      <c r="T9"/>
      <c r="U9"/>
    </row>
    <row r="10" spans="1:21" ht="12.75" customHeight="1">
      <c r="A10" s="128" t="s">
        <v>779</v>
      </c>
      <c r="B10" s="73">
        <v>1</v>
      </c>
      <c r="C10" s="129"/>
      <c r="D10" s="1269"/>
      <c r="E10" s="1268"/>
      <c r="F10" s="1270"/>
      <c r="G10" s="109"/>
      <c r="H10" s="109">
        <v>20350000</v>
      </c>
      <c r="I10" s="129">
        <v>84317120</v>
      </c>
      <c r="J10" s="75">
        <f>SUM(E10:I10)</f>
        <v>104667120</v>
      </c>
      <c r="K10" s="75">
        <f>IF(D10=0,C10+J10,D10+J10)</f>
        <v>104667120</v>
      </c>
      <c r="L10" s="109">
        <v>93165000</v>
      </c>
      <c r="M10" s="110">
        <v>100013000</v>
      </c>
      <c r="N10"/>
      <c r="O10"/>
      <c r="P10"/>
      <c r="Q10"/>
      <c r="R10"/>
      <c r="S10"/>
      <c r="T10"/>
      <c r="U10"/>
    </row>
    <row r="11" spans="1:21" ht="12.75" customHeight="1">
      <c r="A11" s="128" t="s">
        <v>780</v>
      </c>
      <c r="B11" s="73"/>
      <c r="C11" s="1269">
        <v>19001000</v>
      </c>
      <c r="D11" s="1269"/>
      <c r="E11" s="1268"/>
      <c r="F11" s="1270"/>
      <c r="G11" s="109"/>
      <c r="H11" s="109"/>
      <c r="I11" s="109"/>
      <c r="J11" s="75">
        <f>SUM(E11:I11)</f>
        <v>0</v>
      </c>
      <c r="K11" s="75">
        <f>IF(D11=0,C11+J11,D11+J11)</f>
        <v>19001000</v>
      </c>
      <c r="L11" s="1268">
        <v>19932049</v>
      </c>
      <c r="M11" s="1270">
        <v>20908719</v>
      </c>
      <c r="N11"/>
      <c r="O11"/>
      <c r="P11"/>
      <c r="Q11"/>
      <c r="R11"/>
      <c r="S11"/>
      <c r="T11"/>
      <c r="U11"/>
    </row>
    <row r="12" spans="1:21" ht="12.75" customHeight="1">
      <c r="A12" s="128" t="s">
        <v>781</v>
      </c>
      <c r="B12" s="73"/>
      <c r="C12" s="129"/>
      <c r="D12" s="109"/>
      <c r="E12" s="109"/>
      <c r="F12" s="109"/>
      <c r="G12" s="109"/>
      <c r="H12" s="109"/>
      <c r="I12" s="109"/>
      <c r="J12" s="75">
        <f>SUM(E12:I12)</f>
        <v>0</v>
      </c>
      <c r="K12" s="75">
        <f>IF(D12=0,C12+J12,D12+J12)</f>
        <v>0</v>
      </c>
      <c r="L12" s="109"/>
      <c r="M12" s="110"/>
      <c r="N12"/>
      <c r="O12"/>
      <c r="P12"/>
      <c r="Q12"/>
      <c r="R12"/>
      <c r="S12"/>
      <c r="T12"/>
      <c r="U12"/>
    </row>
    <row r="13" spans="1:21" ht="12.75" customHeight="1">
      <c r="A13" s="138" t="s">
        <v>782</v>
      </c>
      <c r="B13" s="73"/>
      <c r="C13" s="74"/>
      <c r="D13" s="75"/>
      <c r="E13" s="75"/>
      <c r="F13" s="75"/>
      <c r="G13" s="75"/>
      <c r="H13" s="75"/>
      <c r="I13" s="75"/>
      <c r="J13" s="75"/>
      <c r="K13" s="75"/>
      <c r="L13" s="75"/>
      <c r="M13" s="76"/>
      <c r="N13"/>
      <c r="O13"/>
      <c r="P13"/>
      <c r="Q13"/>
      <c r="R13"/>
      <c r="S13"/>
      <c r="T13"/>
      <c r="U13"/>
    </row>
    <row r="14" spans="1:21" ht="12.75" customHeight="1">
      <c r="A14" s="128" t="s">
        <v>783</v>
      </c>
      <c r="B14" s="73"/>
      <c r="C14" s="1266">
        <v>-863273141</v>
      </c>
      <c r="D14" s="1265"/>
      <c r="E14" s="1267"/>
      <c r="F14" s="109"/>
      <c r="G14" s="109"/>
      <c r="H14" s="109"/>
      <c r="I14" s="109">
        <f>31548695+101673000</f>
        <v>133221695</v>
      </c>
      <c r="J14" s="75">
        <f>SUM(E14:I14)</f>
        <v>133221695</v>
      </c>
      <c r="K14" s="75">
        <f>IF(D14=0,C14+J14,D14+J14)</f>
        <v>-730051446</v>
      </c>
      <c r="L14" s="1265">
        <v>-770678000</v>
      </c>
      <c r="M14" s="1267">
        <v>-809660000</v>
      </c>
      <c r="N14"/>
      <c r="O14"/>
      <c r="P14"/>
      <c r="Q14"/>
      <c r="R14"/>
      <c r="S14"/>
      <c r="T14"/>
      <c r="U14"/>
    </row>
    <row r="15" spans="1:21" ht="12.75" customHeight="1">
      <c r="A15" s="30" t="s">
        <v>601</v>
      </c>
      <c r="B15" s="73"/>
      <c r="C15" s="1266">
        <v>-11931595</v>
      </c>
      <c r="D15" s="1265"/>
      <c r="E15" s="1267"/>
      <c r="F15" s="109"/>
      <c r="G15" s="109"/>
      <c r="H15" s="109"/>
      <c r="I15" s="109"/>
      <c r="J15" s="75">
        <f>SUM(E15:I15)</f>
        <v>0</v>
      </c>
      <c r="K15" s="75">
        <f>IF(D15=0,C15+J15,D15+J15)</f>
        <v>-11931595</v>
      </c>
      <c r="L15" s="1265">
        <v>-12516243</v>
      </c>
      <c r="M15" s="1267">
        <v>-13129539</v>
      </c>
      <c r="N15"/>
      <c r="O15"/>
      <c r="P15"/>
      <c r="Q15"/>
      <c r="R15"/>
      <c r="S15"/>
      <c r="T15"/>
      <c r="U15"/>
    </row>
    <row r="16" spans="1:21" ht="12.75" customHeight="1">
      <c r="A16" s="30" t="s">
        <v>1287</v>
      </c>
      <c r="B16" s="73">
        <v>1</v>
      </c>
      <c r="C16" s="129"/>
      <c r="D16" s="109"/>
      <c r="E16" s="1267"/>
      <c r="F16" s="109"/>
      <c r="G16" s="109"/>
      <c r="H16" s="109"/>
      <c r="I16" s="109">
        <f>-31548695-5200000-26000-5500000</f>
        <v>-42274695</v>
      </c>
      <c r="J16" s="75">
        <f>SUM(E16:I16)</f>
        <v>-42274695</v>
      </c>
      <c r="K16" s="75">
        <f>IF(D16=0,C16+J16,D16+J16)</f>
        <v>-42274695</v>
      </c>
      <c r="L16" s="109">
        <f>-35295231.39-6500000+25000</f>
        <v>-41770231.390000001</v>
      </c>
      <c r="M16" s="110">
        <f>-35758531.72-7000000+27500</f>
        <v>-42731031.719999999</v>
      </c>
      <c r="N16"/>
      <c r="O16"/>
      <c r="P16"/>
      <c r="Q16"/>
      <c r="R16"/>
      <c r="S16"/>
      <c r="T16"/>
      <c r="U16"/>
    </row>
    <row r="17" spans="1:21" ht="12.75" customHeight="1">
      <c r="A17" s="162" t="s">
        <v>784</v>
      </c>
      <c r="B17" s="79"/>
      <c r="C17" s="80">
        <f>SUM(C8:C12)+SUM(C14:C16)</f>
        <v>83597311</v>
      </c>
      <c r="D17" s="81">
        <f t="shared" ref="D17:I17" si="0">SUM(D8:D12)+SUM(D14:D16)</f>
        <v>0</v>
      </c>
      <c r="E17" s="81">
        <f t="shared" si="0"/>
        <v>0</v>
      </c>
      <c r="F17" s="81">
        <f t="shared" si="0"/>
        <v>0</v>
      </c>
      <c r="G17" s="81">
        <f t="shared" si="0"/>
        <v>0</v>
      </c>
      <c r="H17" s="81">
        <f t="shared" si="0"/>
        <v>20350000</v>
      </c>
      <c r="I17" s="81">
        <f t="shared" si="0"/>
        <v>104893579</v>
      </c>
      <c r="J17" s="81">
        <f>SUM(J8:J16)</f>
        <v>125243579</v>
      </c>
      <c r="K17" s="81">
        <f>SUM(K8:K16)</f>
        <v>208840890</v>
      </c>
      <c r="L17" s="80">
        <f>SUM(L8:L12)+SUM(L14:L16)</f>
        <v>180717340.61000001</v>
      </c>
      <c r="M17" s="80">
        <f>SUM(M8:M12)+SUM(M14:M16)</f>
        <v>232458368.27999997</v>
      </c>
      <c r="N17"/>
      <c r="O17"/>
      <c r="P17"/>
      <c r="Q17"/>
      <c r="R17"/>
      <c r="S17"/>
      <c r="T17"/>
      <c r="U17"/>
    </row>
    <row r="18" spans="1:21" ht="5.0999999999999996" customHeight="1">
      <c r="A18" s="135"/>
      <c r="B18" s="73"/>
      <c r="C18" s="74"/>
      <c r="D18" s="75"/>
      <c r="E18" s="75"/>
      <c r="F18" s="75"/>
      <c r="G18" s="75"/>
      <c r="H18" s="75"/>
      <c r="I18" s="75"/>
      <c r="J18" s="75"/>
      <c r="K18" s="75"/>
      <c r="L18" s="75"/>
      <c r="M18" s="76"/>
      <c r="N18"/>
      <c r="O18"/>
      <c r="P18"/>
      <c r="Q18"/>
      <c r="R18"/>
      <c r="S18"/>
      <c r="T18"/>
      <c r="U18"/>
    </row>
    <row r="19" spans="1:21" ht="12.75" customHeight="1">
      <c r="A19" s="138" t="s">
        <v>785</v>
      </c>
      <c r="B19" s="73"/>
      <c r="C19" s="74"/>
      <c r="D19" s="75"/>
      <c r="E19" s="75"/>
      <c r="F19" s="75"/>
      <c r="G19" s="75"/>
      <c r="H19" s="75"/>
      <c r="I19" s="75"/>
      <c r="J19" s="75"/>
      <c r="K19" s="75"/>
      <c r="L19" s="75"/>
      <c r="M19" s="76"/>
      <c r="O19"/>
      <c r="P19"/>
      <c r="Q19"/>
      <c r="R19"/>
      <c r="S19"/>
      <c r="T19"/>
      <c r="U19"/>
    </row>
    <row r="20" spans="1:21" ht="12.75" customHeight="1">
      <c r="A20" s="138" t="s">
        <v>776</v>
      </c>
      <c r="B20" s="73"/>
      <c r="C20" s="74"/>
      <c r="D20" s="75"/>
      <c r="E20" s="75"/>
      <c r="F20" s="75"/>
      <c r="G20" s="75"/>
      <c r="H20" s="75"/>
      <c r="I20" s="75"/>
      <c r="J20" s="75"/>
      <c r="K20" s="75"/>
      <c r="L20" s="75"/>
      <c r="M20" s="76"/>
      <c r="O20"/>
      <c r="P20"/>
      <c r="Q20"/>
      <c r="R20"/>
      <c r="S20"/>
      <c r="T20"/>
      <c r="U20"/>
    </row>
    <row r="21" spans="1:21" ht="12.75" customHeight="1">
      <c r="A21" s="128" t="s">
        <v>786</v>
      </c>
      <c r="B21" s="73"/>
      <c r="C21" s="1261">
        <v>2300000</v>
      </c>
      <c r="D21" s="1259"/>
      <c r="E21" s="1260"/>
      <c r="F21" s="109"/>
      <c r="G21" s="109"/>
      <c r="H21" s="109"/>
      <c r="I21" s="109"/>
      <c r="J21" s="75">
        <f>SUM(E21:I21)</f>
        <v>0</v>
      </c>
      <c r="K21" s="75">
        <f>IF(D21=0,C21+J21,D21+J21)</f>
        <v>2300000</v>
      </c>
      <c r="L21" s="1259">
        <v>2412700</v>
      </c>
      <c r="M21" s="1260">
        <v>2530922</v>
      </c>
      <c r="O21"/>
      <c r="P21"/>
      <c r="Q21"/>
      <c r="R21"/>
      <c r="S21"/>
      <c r="T21"/>
      <c r="U21"/>
    </row>
    <row r="22" spans="1:21" ht="12.75" customHeight="1">
      <c r="A22" s="128" t="s">
        <v>787</v>
      </c>
      <c r="B22" s="73"/>
      <c r="C22" s="1257"/>
      <c r="D22" s="1256"/>
      <c r="E22" s="1258"/>
      <c r="F22" s="109"/>
      <c r="G22" s="109"/>
      <c r="H22" s="109"/>
      <c r="I22" s="109"/>
      <c r="J22" s="75">
        <f>SUM(E22:I22)</f>
        <v>0</v>
      </c>
      <c r="K22" s="75">
        <f>IF(D22=0,C22+J22,D22+J22)</f>
        <v>0</v>
      </c>
      <c r="L22" s="1256"/>
      <c r="M22" s="1258"/>
      <c r="O22"/>
      <c r="P22"/>
      <c r="Q22"/>
      <c r="R22"/>
      <c r="S22"/>
      <c r="T22"/>
      <c r="U22"/>
    </row>
    <row r="23" spans="1:21" ht="12.75" customHeight="1">
      <c r="A23" s="128" t="s">
        <v>793</v>
      </c>
      <c r="B23" s="114"/>
      <c r="C23" s="1261"/>
      <c r="D23" s="1259"/>
      <c r="E23" s="1260"/>
      <c r="F23" s="109"/>
      <c r="G23" s="109"/>
      <c r="H23" s="109"/>
      <c r="I23" s="109"/>
      <c r="J23" s="75">
        <f>SUM(E23:I23)</f>
        <v>0</v>
      </c>
      <c r="K23" s="75">
        <f>IF(D23=0,C23+J23,D23+J23)</f>
        <v>0</v>
      </c>
      <c r="L23" s="1259"/>
      <c r="M23" s="1260"/>
      <c r="O23"/>
      <c r="P23"/>
      <c r="Q23"/>
      <c r="R23"/>
      <c r="S23"/>
      <c r="T23"/>
      <c r="U23"/>
    </row>
    <row r="24" spans="1:21" ht="12.75" customHeight="1">
      <c r="A24" s="128" t="s">
        <v>794</v>
      </c>
      <c r="B24" s="73"/>
      <c r="C24" s="1257">
        <v>-1100000</v>
      </c>
      <c r="D24" s="1256"/>
      <c r="E24" s="1258"/>
      <c r="F24" s="109"/>
      <c r="G24" s="109"/>
      <c r="H24" s="109"/>
      <c r="I24" s="109"/>
      <c r="J24" s="75">
        <f>SUM(E24:I24)</f>
        <v>0</v>
      </c>
      <c r="K24" s="75">
        <f>IF(D24=0,C24+J24,D24+J24)</f>
        <v>-1100000</v>
      </c>
      <c r="L24" s="1256">
        <v>-1100000</v>
      </c>
      <c r="M24" s="1258">
        <v>-1100000</v>
      </c>
      <c r="O24"/>
      <c r="P24"/>
      <c r="Q24"/>
      <c r="R24"/>
      <c r="S24"/>
      <c r="T24"/>
      <c r="U24"/>
    </row>
    <row r="25" spans="1:21" ht="12.75" customHeight="1">
      <c r="A25" s="138" t="s">
        <v>782</v>
      </c>
      <c r="B25" s="73"/>
      <c r="C25" s="74"/>
      <c r="D25" s="75"/>
      <c r="E25" s="75"/>
      <c r="F25" s="75"/>
      <c r="G25" s="75"/>
      <c r="H25" s="75"/>
      <c r="I25" s="75"/>
      <c r="J25" s="75"/>
      <c r="K25" s="75"/>
      <c r="L25" s="75"/>
      <c r="M25" s="76"/>
      <c r="O25"/>
      <c r="P25"/>
      <c r="Q25"/>
      <c r="R25"/>
      <c r="S25"/>
      <c r="T25"/>
      <c r="U25"/>
    </row>
    <row r="26" spans="1:21" ht="12.75" customHeight="1">
      <c r="A26" s="128" t="s">
        <v>795</v>
      </c>
      <c r="B26" s="73"/>
      <c r="C26" s="1263">
        <v>-85312727</v>
      </c>
      <c r="D26" s="1262"/>
      <c r="E26" s="1264"/>
      <c r="F26" s="109"/>
      <c r="G26" s="109"/>
      <c r="H26" s="109">
        <f>-18350000-2000000</f>
        <v>-20350000</v>
      </c>
      <c r="I26" s="109">
        <f>-110119000+10706900-2300000-3400000</f>
        <v>-105112100</v>
      </c>
      <c r="J26" s="75">
        <f>SUM(E26:I26)</f>
        <v>-125462100</v>
      </c>
      <c r="K26" s="75">
        <f>IF(D26=0,C26+J26,D26+J26)</f>
        <v>-210774827</v>
      </c>
      <c r="L26" s="1262">
        <f>-170602397-25000</f>
        <v>-170627397</v>
      </c>
      <c r="M26" s="1264">
        <f>-220725347-27500</f>
        <v>-220752847</v>
      </c>
      <c r="O26"/>
      <c r="P26"/>
      <c r="Q26"/>
      <c r="R26"/>
      <c r="S26"/>
      <c r="T26"/>
      <c r="U26"/>
    </row>
    <row r="27" spans="1:21" ht="12.75" customHeight="1">
      <c r="A27" s="162" t="s">
        <v>796</v>
      </c>
      <c r="B27" s="79"/>
      <c r="C27" s="80">
        <f>SUM(C21:C24)+C26</f>
        <v>-84112727</v>
      </c>
      <c r="D27" s="81">
        <f t="shared" ref="D27:I27" si="1">SUM(D21:D24)+D26</f>
        <v>0</v>
      </c>
      <c r="E27" s="81">
        <f t="shared" si="1"/>
        <v>0</v>
      </c>
      <c r="F27" s="81">
        <f t="shared" si="1"/>
        <v>0</v>
      </c>
      <c r="G27" s="81">
        <f t="shared" si="1"/>
        <v>0</v>
      </c>
      <c r="H27" s="81">
        <f t="shared" si="1"/>
        <v>-20350000</v>
      </c>
      <c r="I27" s="81">
        <f t="shared" si="1"/>
        <v>-105112100</v>
      </c>
      <c r="J27" s="81">
        <f>SUM(J21:J26)</f>
        <v>-125462100</v>
      </c>
      <c r="K27" s="81">
        <f>SUM(K21:K26)</f>
        <v>-209574827</v>
      </c>
      <c r="L27" s="81">
        <f>SUM(L21:L24)+L26</f>
        <v>-169314697</v>
      </c>
      <c r="M27" s="82">
        <f>SUM(M21:M24)+M26</f>
        <v>-219321925</v>
      </c>
      <c r="O27"/>
      <c r="P27"/>
      <c r="Q27"/>
      <c r="R27"/>
      <c r="S27"/>
      <c r="T27"/>
      <c r="U27"/>
    </row>
    <row r="28" spans="1:21" ht="5.0999999999999996" customHeight="1">
      <c r="A28" s="135"/>
      <c r="B28" s="73"/>
      <c r="C28" s="74"/>
      <c r="D28" s="75"/>
      <c r="E28" s="75"/>
      <c r="F28" s="75"/>
      <c r="G28" s="75"/>
      <c r="H28" s="75"/>
      <c r="I28" s="75"/>
      <c r="J28" s="75"/>
      <c r="K28" s="75"/>
      <c r="L28" s="75"/>
      <c r="M28" s="76"/>
      <c r="O28"/>
      <c r="P28"/>
      <c r="Q28"/>
      <c r="R28"/>
      <c r="S28"/>
      <c r="T28"/>
      <c r="U28"/>
    </row>
    <row r="29" spans="1:21" ht="12.75" customHeight="1">
      <c r="A29" s="138" t="s">
        <v>797</v>
      </c>
      <c r="B29" s="73"/>
      <c r="C29" s="74"/>
      <c r="D29" s="75"/>
      <c r="E29" s="75"/>
      <c r="F29" s="75"/>
      <c r="G29" s="75"/>
      <c r="H29" s="75"/>
      <c r="I29" s="75"/>
      <c r="J29" s="75"/>
      <c r="K29" s="75"/>
      <c r="L29" s="75"/>
      <c r="M29" s="76"/>
      <c r="O29"/>
      <c r="P29"/>
      <c r="Q29"/>
      <c r="R29"/>
      <c r="S29"/>
      <c r="T29"/>
      <c r="U29"/>
    </row>
    <row r="30" spans="1:21" ht="12.75" customHeight="1">
      <c r="A30" s="138" t="s">
        <v>776</v>
      </c>
      <c r="B30" s="73"/>
      <c r="C30" s="74"/>
      <c r="D30" s="75"/>
      <c r="E30" s="75"/>
      <c r="F30" s="75"/>
      <c r="G30" s="75"/>
      <c r="H30" s="75"/>
      <c r="I30" s="75"/>
      <c r="J30" s="75"/>
      <c r="K30" s="75"/>
      <c r="L30" s="75"/>
      <c r="M30" s="76"/>
      <c r="O30"/>
      <c r="P30"/>
      <c r="Q30"/>
      <c r="R30"/>
      <c r="S30"/>
      <c r="T30"/>
      <c r="U30"/>
    </row>
    <row r="31" spans="1:21" ht="12.75" customHeight="1">
      <c r="A31" s="128" t="s">
        <v>798</v>
      </c>
      <c r="B31" s="73"/>
      <c r="C31" s="129"/>
      <c r="D31" s="109"/>
      <c r="E31" s="109"/>
      <c r="F31" s="109"/>
      <c r="G31" s="109"/>
      <c r="H31" s="109"/>
      <c r="I31" s="109"/>
      <c r="J31" s="75">
        <f>SUM(E31:I31)</f>
        <v>0</v>
      </c>
      <c r="K31" s="75">
        <f>IF(D31=0,C31+J31,D31+J31)</f>
        <v>0</v>
      </c>
      <c r="L31" s="109"/>
      <c r="M31" s="110"/>
      <c r="O31"/>
      <c r="P31"/>
      <c r="Q31"/>
      <c r="R31"/>
      <c r="S31"/>
      <c r="T31"/>
      <c r="U31"/>
    </row>
    <row r="32" spans="1:21" ht="12.75" customHeight="1">
      <c r="A32" s="128" t="s">
        <v>799</v>
      </c>
      <c r="B32" s="73"/>
      <c r="C32" s="129"/>
      <c r="D32" s="109"/>
      <c r="E32" s="109"/>
      <c r="F32" s="109"/>
      <c r="G32" s="109"/>
      <c r="H32" s="109"/>
      <c r="I32" s="109"/>
      <c r="J32" s="75">
        <f>SUM(E32:I32)</f>
        <v>0</v>
      </c>
      <c r="K32" s="75">
        <f>IF(D32=0,C32+J32,D32+J32)</f>
        <v>0</v>
      </c>
      <c r="L32" s="109"/>
      <c r="M32" s="110"/>
      <c r="O32"/>
      <c r="P32"/>
      <c r="Q32"/>
      <c r="R32"/>
      <c r="S32"/>
      <c r="T32"/>
      <c r="U32"/>
    </row>
    <row r="33" spans="1:21" ht="12.75" customHeight="1">
      <c r="A33" s="128" t="s">
        <v>1288</v>
      </c>
      <c r="B33" s="73"/>
      <c r="C33" s="1251">
        <v>380000</v>
      </c>
      <c r="D33" s="1250"/>
      <c r="E33" s="1252"/>
      <c r="F33" s="109"/>
      <c r="G33" s="109"/>
      <c r="H33" s="109"/>
      <c r="I33" s="109"/>
      <c r="J33" s="75">
        <f>SUM(E33:I33)</f>
        <v>0</v>
      </c>
      <c r="K33" s="75">
        <f>IF(D33=0,C33+J33,D33+J33)</f>
        <v>380000</v>
      </c>
      <c r="L33" s="1250">
        <v>387600</v>
      </c>
      <c r="M33" s="1252">
        <v>395352</v>
      </c>
      <c r="O33"/>
      <c r="P33"/>
      <c r="Q33"/>
      <c r="R33"/>
      <c r="S33"/>
      <c r="T33"/>
      <c r="U33"/>
    </row>
    <row r="34" spans="1:21" ht="12.75" customHeight="1">
      <c r="A34" s="138" t="s">
        <v>782</v>
      </c>
      <c r="B34" s="73"/>
      <c r="C34" s="74"/>
      <c r="D34" s="75"/>
      <c r="E34" s="75"/>
      <c r="F34" s="75"/>
      <c r="G34" s="75"/>
      <c r="H34" s="75"/>
      <c r="I34" s="75"/>
      <c r="J34" s="75"/>
      <c r="K34" s="75"/>
      <c r="L34" s="75"/>
      <c r="M34" s="76"/>
      <c r="O34"/>
      <c r="P34"/>
      <c r="Q34"/>
      <c r="R34"/>
      <c r="S34"/>
      <c r="T34"/>
      <c r="U34"/>
    </row>
    <row r="35" spans="1:21" ht="12.75" customHeight="1">
      <c r="A35" s="128" t="s">
        <v>801</v>
      </c>
      <c r="B35" s="73"/>
      <c r="C35" s="1254">
        <v>-10521601</v>
      </c>
      <c r="D35" s="1253"/>
      <c r="E35" s="1255"/>
      <c r="F35" s="109"/>
      <c r="G35" s="109"/>
      <c r="H35" s="109"/>
      <c r="I35" s="109"/>
      <c r="J35" s="75">
        <f>SUM(E35:I35)</f>
        <v>0</v>
      </c>
      <c r="K35" s="75">
        <f>IF(D35=0,C35+J35,D35+J35)</f>
        <v>-10521601</v>
      </c>
      <c r="L35" s="1253">
        <v>-11790493</v>
      </c>
      <c r="M35" s="1255">
        <v>-12618493</v>
      </c>
      <c r="O35"/>
      <c r="P35"/>
      <c r="Q35"/>
      <c r="R35"/>
      <c r="S35"/>
      <c r="T35"/>
      <c r="U35"/>
    </row>
    <row r="36" spans="1:21" ht="12.75" customHeight="1">
      <c r="A36" s="162" t="s">
        <v>802</v>
      </c>
      <c r="B36" s="79"/>
      <c r="C36" s="80">
        <f>SUM(C31:C33)+C35</f>
        <v>-10141601</v>
      </c>
      <c r="D36" s="81">
        <f t="shared" ref="D36:I36" si="2">SUM(D31:D33)+D35</f>
        <v>0</v>
      </c>
      <c r="E36" s="81">
        <f t="shared" si="2"/>
        <v>0</v>
      </c>
      <c r="F36" s="81">
        <f t="shared" si="2"/>
        <v>0</v>
      </c>
      <c r="G36" s="81">
        <f t="shared" si="2"/>
        <v>0</v>
      </c>
      <c r="H36" s="81">
        <f t="shared" si="2"/>
        <v>0</v>
      </c>
      <c r="I36" s="81">
        <f t="shared" si="2"/>
        <v>0</v>
      </c>
      <c r="J36" s="81">
        <f>SUM(J31:J35)</f>
        <v>0</v>
      </c>
      <c r="K36" s="81">
        <f>SUM(K31:K35)</f>
        <v>-10141601</v>
      </c>
      <c r="L36" s="81">
        <f>SUM(L31:L33)+L35</f>
        <v>-11402893</v>
      </c>
      <c r="M36" s="82">
        <f>SUM(M31:M33)+M35</f>
        <v>-12223141</v>
      </c>
      <c r="O36"/>
      <c r="P36"/>
      <c r="Q36"/>
      <c r="R36"/>
      <c r="S36"/>
      <c r="T36"/>
      <c r="U36"/>
    </row>
    <row r="37" spans="1:21" ht="5.0999999999999996" customHeight="1">
      <c r="A37" s="135"/>
      <c r="B37" s="73"/>
      <c r="C37" s="74"/>
      <c r="D37" s="75"/>
      <c r="E37" s="75"/>
      <c r="F37" s="75"/>
      <c r="G37" s="75"/>
      <c r="H37" s="75"/>
      <c r="I37" s="75"/>
      <c r="J37" s="75"/>
      <c r="K37" s="75"/>
      <c r="L37" s="75"/>
      <c r="M37" s="76"/>
      <c r="O37"/>
      <c r="P37"/>
      <c r="Q37"/>
      <c r="R37"/>
      <c r="S37"/>
      <c r="T37"/>
      <c r="U37"/>
    </row>
    <row r="38" spans="1:21" ht="12.75" customHeight="1">
      <c r="A38" s="138" t="s">
        <v>803</v>
      </c>
      <c r="B38" s="73"/>
      <c r="C38" s="139">
        <f>C17+C27+C36</f>
        <v>-10657017</v>
      </c>
      <c r="D38" s="140">
        <f t="shared" ref="D38:M38" si="3">D17+D27+D36</f>
        <v>0</v>
      </c>
      <c r="E38" s="140">
        <f t="shared" si="3"/>
        <v>0</v>
      </c>
      <c r="F38" s="140">
        <f t="shared" si="3"/>
        <v>0</v>
      </c>
      <c r="G38" s="140">
        <f t="shared" si="3"/>
        <v>0</v>
      </c>
      <c r="H38" s="140">
        <f t="shared" si="3"/>
        <v>0</v>
      </c>
      <c r="I38" s="140">
        <f t="shared" si="3"/>
        <v>-218521</v>
      </c>
      <c r="J38" s="140">
        <f t="shared" si="3"/>
        <v>-218521</v>
      </c>
      <c r="K38" s="140">
        <f t="shared" si="3"/>
        <v>-10875538</v>
      </c>
      <c r="L38" s="140">
        <f t="shared" si="3"/>
        <v>-249.38999998569489</v>
      </c>
      <c r="M38" s="141">
        <f t="shared" si="3"/>
        <v>913302.27999997139</v>
      </c>
      <c r="O38"/>
      <c r="P38"/>
      <c r="Q38"/>
      <c r="R38"/>
      <c r="S38"/>
      <c r="T38"/>
      <c r="U38"/>
    </row>
    <row r="39" spans="1:21" ht="12.75" customHeight="1">
      <c r="A39" s="128" t="s">
        <v>804</v>
      </c>
      <c r="B39" s="73">
        <v>2</v>
      </c>
      <c r="C39" s="129">
        <v>23000000</v>
      </c>
      <c r="D39" s="109"/>
      <c r="E39" s="109"/>
      <c r="F39" s="109"/>
      <c r="G39" s="109"/>
      <c r="H39" s="109"/>
      <c r="I39" s="109">
        <v>-12124000</v>
      </c>
      <c r="J39" s="109">
        <f>SUM(E39:I39)</f>
        <v>-12124000</v>
      </c>
      <c r="K39" s="75">
        <f>IF(D39=0,C39+J39,D39+J39)</f>
        <v>10876000</v>
      </c>
      <c r="L39" s="109">
        <v>0</v>
      </c>
      <c r="M39" s="110">
        <v>0</v>
      </c>
      <c r="N39"/>
      <c r="O39"/>
      <c r="P39"/>
      <c r="Q39"/>
      <c r="R39"/>
      <c r="S39"/>
      <c r="T39"/>
      <c r="U39"/>
    </row>
    <row r="40" spans="1:21" ht="12.75" customHeight="1">
      <c r="A40" s="175" t="s">
        <v>805</v>
      </c>
      <c r="B40" s="88">
        <v>2</v>
      </c>
      <c r="C40" s="176">
        <f>C38+C39</f>
        <v>12342983</v>
      </c>
      <c r="D40" s="177">
        <f t="shared" ref="D40:I40" si="4">D38+D39</f>
        <v>0</v>
      </c>
      <c r="E40" s="177">
        <f t="shared" si="4"/>
        <v>0</v>
      </c>
      <c r="F40" s="177">
        <f t="shared" si="4"/>
        <v>0</v>
      </c>
      <c r="G40" s="177">
        <f t="shared" si="4"/>
        <v>0</v>
      </c>
      <c r="H40" s="177">
        <f t="shared" si="4"/>
        <v>0</v>
      </c>
      <c r="I40" s="177">
        <f t="shared" si="4"/>
        <v>-12342521</v>
      </c>
      <c r="J40" s="317"/>
      <c r="K40" s="177">
        <f>K38+K39</f>
        <v>462</v>
      </c>
      <c r="L40" s="177">
        <f>L38+L39</f>
        <v>-249.38999998569489</v>
      </c>
      <c r="M40" s="178">
        <f>M38+M39</f>
        <v>913302.27999997139</v>
      </c>
      <c r="N40"/>
      <c r="O40"/>
      <c r="P40"/>
      <c r="Q40"/>
      <c r="R40"/>
      <c r="S40"/>
      <c r="T40"/>
      <c r="U40"/>
    </row>
    <row r="41" spans="1:21" ht="12.75" customHeight="1">
      <c r="A41" s="157" t="str">
        <f>head27a</f>
        <v>References</v>
      </c>
      <c r="B41" s="93"/>
      <c r="C41" s="179"/>
      <c r="D41" s="179"/>
      <c r="E41" s="179"/>
      <c r="F41" s="179"/>
      <c r="G41" s="179"/>
      <c r="H41" s="179"/>
      <c r="I41" s="179"/>
      <c r="J41" s="179"/>
      <c r="K41" s="179"/>
      <c r="L41" s="179"/>
      <c r="M41" s="179"/>
      <c r="N41"/>
      <c r="O41"/>
      <c r="P41"/>
      <c r="Q41"/>
      <c r="R41"/>
      <c r="S41"/>
      <c r="T41"/>
      <c r="U41"/>
    </row>
    <row r="42" spans="1:21" ht="12.75" customHeight="1">
      <c r="A42" s="119" t="s">
        <v>1187</v>
      </c>
      <c r="B42" s="93"/>
      <c r="C42" s="96"/>
      <c r="D42" s="94"/>
      <c r="E42" s="96"/>
      <c r="F42" s="96"/>
      <c r="G42" s="96"/>
      <c r="H42" s="96"/>
      <c r="I42" s="96"/>
      <c r="J42" s="96"/>
      <c r="K42" s="96"/>
      <c r="L42" s="96"/>
      <c r="M42" s="96"/>
      <c r="N42"/>
      <c r="O42"/>
      <c r="P42"/>
      <c r="Q42"/>
      <c r="R42"/>
      <c r="S42"/>
      <c r="T42"/>
      <c r="U42"/>
    </row>
    <row r="43" spans="1:21" ht="12.75" customHeight="1">
      <c r="A43" s="119" t="s">
        <v>1188</v>
      </c>
      <c r="B43" s="93"/>
      <c r="C43" s="96"/>
      <c r="D43" s="94"/>
      <c r="E43" s="96"/>
      <c r="F43" s="96"/>
      <c r="G43" s="96"/>
      <c r="H43" s="96"/>
      <c r="I43" s="96"/>
      <c r="J43" s="96"/>
      <c r="K43" s="96"/>
      <c r="L43" s="96"/>
      <c r="M43" s="96"/>
      <c r="N43"/>
      <c r="O43"/>
      <c r="P43"/>
      <c r="Q43"/>
      <c r="R43"/>
      <c r="S43"/>
      <c r="T43"/>
      <c r="U43"/>
    </row>
    <row r="44" spans="1:21" ht="12.75" customHeight="1">
      <c r="A44" s="1324" t="s">
        <v>1106</v>
      </c>
      <c r="B44" s="1324"/>
      <c r="C44" s="1324"/>
      <c r="D44" s="1324"/>
      <c r="E44" s="1324"/>
      <c r="F44" s="1324"/>
      <c r="G44" s="1324"/>
      <c r="H44" s="1324"/>
      <c r="I44" s="1324"/>
      <c r="J44" s="1324"/>
      <c r="K44" s="1324"/>
      <c r="L44" s="1324"/>
      <c r="M44" s="1324"/>
      <c r="N44"/>
      <c r="O44"/>
      <c r="P44"/>
      <c r="Q44"/>
      <c r="R44"/>
      <c r="S44"/>
      <c r="T44"/>
      <c r="U44"/>
    </row>
    <row r="45" spans="1:21" ht="25.5" customHeight="1">
      <c r="A45" s="1324" t="s">
        <v>1175</v>
      </c>
      <c r="B45" s="1324"/>
      <c r="C45" s="1324"/>
      <c r="D45" s="1324"/>
      <c r="E45" s="1324"/>
      <c r="F45" s="1324"/>
      <c r="G45" s="1324"/>
      <c r="H45" s="1324"/>
      <c r="I45" s="1324"/>
      <c r="J45" s="1324"/>
      <c r="K45" s="1324"/>
      <c r="L45" s="1324"/>
      <c r="M45" s="1324"/>
      <c r="N45"/>
      <c r="O45"/>
      <c r="P45"/>
      <c r="Q45"/>
      <c r="R45"/>
      <c r="S45"/>
      <c r="T45"/>
      <c r="U45"/>
    </row>
    <row r="46" spans="1:21" ht="12.75" customHeight="1">
      <c r="A46" s="1318" t="s">
        <v>1176</v>
      </c>
      <c r="B46" s="1318"/>
      <c r="C46" s="1318"/>
      <c r="D46" s="1318"/>
      <c r="E46" s="1318"/>
      <c r="F46" s="1318"/>
      <c r="G46" s="1318"/>
      <c r="H46" s="1318"/>
      <c r="I46" s="1318"/>
      <c r="J46" s="1318"/>
      <c r="K46" s="1318"/>
      <c r="L46" s="1318"/>
      <c r="M46" s="1318"/>
      <c r="N46"/>
      <c r="O46"/>
      <c r="P46"/>
      <c r="Q46"/>
      <c r="R46"/>
      <c r="S46"/>
      <c r="T46"/>
      <c r="U46"/>
    </row>
    <row r="47" spans="1:21" ht="12.75" customHeight="1">
      <c r="A47" s="1318" t="s">
        <v>1177</v>
      </c>
      <c r="B47" s="1318"/>
      <c r="C47" s="1318"/>
      <c r="D47" s="1318"/>
      <c r="E47" s="1318"/>
      <c r="F47" s="1318"/>
      <c r="G47" s="1318"/>
      <c r="H47" s="1318"/>
      <c r="I47" s="1318"/>
      <c r="J47" s="1318"/>
      <c r="K47" s="1318"/>
      <c r="L47" s="1318"/>
      <c r="M47" s="1318"/>
      <c r="N47"/>
      <c r="O47"/>
      <c r="P47"/>
      <c r="Q47"/>
      <c r="R47"/>
      <c r="S47"/>
      <c r="T47"/>
      <c r="U47"/>
    </row>
    <row r="48" spans="1:21" ht="12.75" customHeight="1">
      <c r="A48" s="99" t="s">
        <v>1178</v>
      </c>
      <c r="B48" s="93"/>
      <c r="C48" s="96"/>
      <c r="D48" s="96"/>
      <c r="E48" s="96"/>
      <c r="F48" s="96"/>
      <c r="G48" s="96"/>
      <c r="H48" s="96"/>
      <c r="I48" s="96"/>
      <c r="J48" s="96"/>
      <c r="K48" s="96"/>
      <c r="L48" s="96"/>
      <c r="M48" s="96"/>
      <c r="N48"/>
      <c r="O48"/>
      <c r="P48"/>
      <c r="Q48"/>
      <c r="R48"/>
      <c r="S48"/>
      <c r="T48"/>
      <c r="U48"/>
    </row>
    <row r="49" spans="1:21" ht="25.5" customHeight="1">
      <c r="A49" s="1318" t="s">
        <v>1179</v>
      </c>
      <c r="B49" s="1318"/>
      <c r="C49" s="1318"/>
      <c r="D49" s="1318"/>
      <c r="E49" s="1318"/>
      <c r="F49" s="1318"/>
      <c r="G49" s="1318"/>
      <c r="H49" s="1318"/>
      <c r="I49" s="1318"/>
      <c r="J49" s="1318"/>
      <c r="K49" s="1318"/>
      <c r="L49" s="1318"/>
      <c r="M49" s="1318"/>
      <c r="N49"/>
      <c r="O49"/>
      <c r="P49"/>
      <c r="Q49"/>
      <c r="R49"/>
      <c r="S49"/>
      <c r="T49"/>
      <c r="U49"/>
    </row>
    <row r="50" spans="1:21" ht="12.75" customHeight="1">
      <c r="A50" s="99" t="s">
        <v>648</v>
      </c>
      <c r="B50" s="93"/>
      <c r="C50" s="96"/>
      <c r="D50" s="96"/>
      <c r="E50" s="96"/>
      <c r="F50" s="96"/>
      <c r="G50" s="96"/>
      <c r="H50" s="96"/>
      <c r="I50" s="96"/>
      <c r="J50" s="96"/>
      <c r="K50" s="96"/>
      <c r="L50" s="96"/>
      <c r="M50" s="96"/>
      <c r="N50"/>
      <c r="O50"/>
      <c r="P50"/>
      <c r="Q50"/>
      <c r="R50"/>
      <c r="S50"/>
      <c r="T50"/>
      <c r="U50"/>
    </row>
    <row r="51" spans="1:21" ht="12.75" customHeight="1">
      <c r="A51" s="1318" t="s">
        <v>649</v>
      </c>
      <c r="B51" s="1318"/>
      <c r="C51" s="1318"/>
      <c r="D51" s="1318"/>
      <c r="E51" s="1318"/>
      <c r="F51" s="1318"/>
      <c r="G51" s="1318"/>
      <c r="H51" s="1318"/>
      <c r="I51" s="1318"/>
      <c r="J51" s="1318"/>
      <c r="K51" s="1318"/>
      <c r="L51" s="1318"/>
      <c r="M51" s="1318"/>
      <c r="N51"/>
      <c r="O51"/>
      <c r="P51"/>
      <c r="Q51"/>
      <c r="R51"/>
      <c r="S51"/>
      <c r="T51"/>
      <c r="U51"/>
    </row>
    <row r="52" spans="1:21" ht="12.75" customHeight="1">
      <c r="A52" s="48"/>
      <c r="B52" s="120"/>
      <c r="C52" s="53"/>
      <c r="D52" s="53"/>
      <c r="E52" s="53"/>
      <c r="F52" s="53"/>
      <c r="G52" s="53"/>
      <c r="H52" s="53"/>
      <c r="I52" s="53"/>
      <c r="J52" s="53"/>
      <c r="K52" s="53"/>
      <c r="L52" s="53"/>
      <c r="M52" s="53"/>
      <c r="N52" s="53"/>
      <c r="O52" s="53"/>
      <c r="P52" s="53"/>
    </row>
    <row r="53" spans="1:21" ht="12.75" customHeight="1">
      <c r="A53" s="101"/>
      <c r="B53" s="93"/>
      <c r="C53" s="180"/>
      <c r="D53" s="181"/>
      <c r="E53" s="181"/>
      <c r="F53" s="181"/>
      <c r="G53" s="181"/>
      <c r="H53" s="181"/>
      <c r="I53" s="181"/>
      <c r="J53" s="181"/>
      <c r="K53" s="181"/>
      <c r="L53" s="181"/>
      <c r="M53" s="180"/>
      <c r="N53" s="102"/>
      <c r="O53" s="102"/>
      <c r="P53" s="102"/>
    </row>
    <row r="54" spans="1:21" ht="12.75" customHeight="1">
      <c r="A54" s="48"/>
      <c r="B54" s="120"/>
      <c r="C54" s="48"/>
      <c r="D54" s="182"/>
      <c r="E54" s="182"/>
      <c r="F54" s="182"/>
      <c r="G54" s="182"/>
      <c r="H54" s="182"/>
      <c r="I54" s="182"/>
      <c r="J54" s="182"/>
      <c r="K54" s="182"/>
      <c r="L54" s="182"/>
      <c r="M54" s="48"/>
    </row>
    <row r="55" spans="1:21" ht="12.75" customHeight="1">
      <c r="A55" s="48"/>
      <c r="B55" s="120"/>
      <c r="C55" s="48"/>
      <c r="D55" s="48"/>
      <c r="E55" s="48"/>
      <c r="F55" s="48"/>
      <c r="G55" s="48"/>
      <c r="H55" s="48"/>
      <c r="I55" s="48"/>
      <c r="J55" s="48"/>
      <c r="K55" s="48"/>
      <c r="L55" s="48"/>
      <c r="M55" s="48"/>
    </row>
    <row r="56" spans="1:21" ht="12.75" customHeight="1">
      <c r="A56" s="48"/>
      <c r="B56" s="810"/>
      <c r="C56" s="48"/>
      <c r="D56" s="84"/>
      <c r="E56" s="84"/>
      <c r="F56" s="84"/>
      <c r="G56" s="84"/>
      <c r="H56" s="84"/>
      <c r="I56" s="84"/>
      <c r="J56" s="84"/>
      <c r="K56" s="84"/>
      <c r="L56" s="84"/>
      <c r="M56" s="48"/>
    </row>
    <row r="57" spans="1:21" ht="12.75" customHeight="1">
      <c r="A57" s="48"/>
      <c r="B57" s="120"/>
      <c r="C57" s="48"/>
      <c r="D57" s="48"/>
      <c r="E57" s="48"/>
      <c r="F57" s="48"/>
      <c r="G57" s="48"/>
      <c r="H57" s="48"/>
      <c r="I57" s="48"/>
      <c r="J57" s="48"/>
      <c r="K57" s="48"/>
      <c r="L57" s="48"/>
      <c r="M57" s="48"/>
    </row>
    <row r="58" spans="1:21" ht="12.75" customHeight="1">
      <c r="A58" s="48"/>
      <c r="B58" s="120"/>
      <c r="C58" s="48"/>
      <c r="D58" s="48"/>
      <c r="E58" s="48"/>
      <c r="F58" s="48"/>
      <c r="G58" s="48"/>
      <c r="H58" s="48"/>
      <c r="I58" s="48"/>
      <c r="J58" s="48"/>
      <c r="K58" s="48"/>
      <c r="L58" s="48"/>
      <c r="M58" s="48"/>
    </row>
    <row r="59" spans="1:21" ht="12.75" customHeight="1">
      <c r="A59" s="48"/>
      <c r="B59" s="120"/>
      <c r="C59" s="48"/>
      <c r="D59" s="48"/>
      <c r="E59" s="48"/>
      <c r="F59" s="48"/>
      <c r="G59" s="48"/>
      <c r="H59" s="48"/>
      <c r="I59" s="48"/>
      <c r="J59" s="48"/>
      <c r="K59" s="48"/>
      <c r="L59" s="48"/>
      <c r="M59" s="48"/>
    </row>
    <row r="60" spans="1:21" ht="12.75" customHeight="1"/>
    <row r="61" spans="1:21" ht="12.75" customHeight="1"/>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9">
    <mergeCell ref="A51:M51"/>
    <mergeCell ref="A45:M45"/>
    <mergeCell ref="A49:M49"/>
    <mergeCell ref="A2:A4"/>
    <mergeCell ref="B2:B4"/>
    <mergeCell ref="C2:K2"/>
    <mergeCell ref="A44:M44"/>
    <mergeCell ref="A46:M46"/>
    <mergeCell ref="A47:M47"/>
  </mergeCells>
  <phoneticPr fontId="17"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88" enableFormatConditionsCalculation="0">
    <tabColor indexed="44"/>
    <pageSetUpPr fitToPage="1"/>
  </sheetPr>
  <dimension ref="A1:N129"/>
  <sheetViews>
    <sheetView showGridLines="0" workbookViewId="0">
      <pane xSplit="2" ySplit="5" topLeftCell="C7" activePane="bottomRight" state="frozen"/>
      <selection activeCell="M17" sqref="M17:M63"/>
      <selection pane="topRight" activeCell="M17" sqref="M17:M63"/>
      <selection pane="bottomLeft" activeCell="M17" sqref="M17:M63"/>
      <selection pane="bottomRight" activeCell="C18" sqref="C18"/>
    </sheetView>
  </sheetViews>
  <sheetFormatPr defaultRowHeight="12.7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c r="A1" s="183" t="str">
        <f>muni&amp;" - "&amp;_ADJ8&amp;" - "&amp;Date</f>
        <v>LIM333 Greater Tzaneen - Table B8 Consolidated Cash backed reserves/accumulated surplus reconciliation - 26 FEBRUARY 2014</v>
      </c>
      <c r="B1" s="184"/>
      <c r="C1" s="185"/>
    </row>
    <row r="2" spans="1:14" ht="38.25">
      <c r="A2" s="1343" t="str">
        <f>desc</f>
        <v>Description</v>
      </c>
      <c r="B2" s="1343" t="str">
        <f>head27</f>
        <v>Ref</v>
      </c>
      <c r="C2" s="1345" t="str">
        <f>Head2</f>
        <v>Budget Year 2013/14</v>
      </c>
      <c r="D2" s="1346"/>
      <c r="E2" s="1346"/>
      <c r="F2" s="1346"/>
      <c r="G2" s="1346"/>
      <c r="H2" s="1346"/>
      <c r="I2" s="1346"/>
      <c r="J2" s="1346"/>
      <c r="K2" s="1346"/>
      <c r="L2" s="186" t="str">
        <f>Head10</f>
        <v>Budget Year +1 2014/15</v>
      </c>
      <c r="M2" s="187" t="str">
        <f>Head11</f>
        <v>Budget Year +2 2015/16</v>
      </c>
    </row>
    <row r="3" spans="1:14" ht="25.5">
      <c r="A3" s="1344"/>
      <c r="B3" s="1344"/>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c r="A4" s="1344"/>
      <c r="B4" s="1344"/>
      <c r="C4" s="192"/>
      <c r="D4" s="193">
        <v>3</v>
      </c>
      <c r="E4" s="193">
        <v>4</v>
      </c>
      <c r="F4" s="193">
        <v>5</v>
      </c>
      <c r="G4" s="193">
        <v>6</v>
      </c>
      <c r="H4" s="193">
        <v>7</v>
      </c>
      <c r="I4" s="193">
        <v>8</v>
      </c>
      <c r="J4" s="193">
        <v>9</v>
      </c>
      <c r="K4" s="193">
        <v>10</v>
      </c>
      <c r="L4" s="193"/>
      <c r="M4" s="194"/>
    </row>
    <row r="5" spans="1:14">
      <c r="A5" s="195" t="s">
        <v>643</v>
      </c>
      <c r="B5" s="196"/>
      <c r="C5" s="197" t="s">
        <v>583</v>
      </c>
      <c r="D5" s="198" t="s">
        <v>584</v>
      </c>
      <c r="E5" s="198" t="s">
        <v>585</v>
      </c>
      <c r="F5" s="199" t="s">
        <v>586</v>
      </c>
      <c r="G5" s="199" t="s">
        <v>587</v>
      </c>
      <c r="H5" s="199" t="s">
        <v>588</v>
      </c>
      <c r="I5" s="200" t="s">
        <v>589</v>
      </c>
      <c r="J5" s="200" t="s">
        <v>590</v>
      </c>
      <c r="K5" s="200" t="s">
        <v>591</v>
      </c>
      <c r="L5" s="200"/>
      <c r="M5" s="201"/>
    </row>
    <row r="6" spans="1:14" ht="12.75" customHeight="1">
      <c r="A6" s="202" t="s">
        <v>629</v>
      </c>
      <c r="B6" s="203"/>
      <c r="C6" s="204"/>
      <c r="D6" s="137"/>
      <c r="E6" s="137"/>
      <c r="F6" s="137"/>
      <c r="G6" s="137"/>
      <c r="H6" s="137"/>
      <c r="I6" s="137"/>
      <c r="J6" s="137"/>
      <c r="K6" s="137"/>
      <c r="L6" s="137"/>
      <c r="M6" s="205"/>
    </row>
    <row r="7" spans="1:14" ht="12.75" customHeight="1">
      <c r="A7" s="206" t="s">
        <v>627</v>
      </c>
      <c r="B7" s="203">
        <v>1</v>
      </c>
      <c r="C7" s="130">
        <f>'B7-CFlow'!C40</f>
        <v>12342983</v>
      </c>
      <c r="D7" s="131">
        <f>'B7-CFlow'!D40</f>
        <v>0</v>
      </c>
      <c r="E7" s="131">
        <f>'B7-CFlow'!E40</f>
        <v>0</v>
      </c>
      <c r="F7" s="131">
        <f>'B7-CFlow'!F40</f>
        <v>0</v>
      </c>
      <c r="G7" s="131">
        <f>'B7-CFlow'!G40</f>
        <v>0</v>
      </c>
      <c r="H7" s="131">
        <f>'B7-CFlow'!H40</f>
        <v>0</v>
      </c>
      <c r="I7" s="131">
        <f>'B7-CFlow'!I40</f>
        <v>-12342521</v>
      </c>
      <c r="J7" s="137">
        <f>SUM(E7:I7)</f>
        <v>-12342521</v>
      </c>
      <c r="K7" s="137">
        <f>IF(D7=0,C7+J7,D7+J7)</f>
        <v>462</v>
      </c>
      <c r="L7" s="131">
        <f>'B7-CFlow'!L40</f>
        <v>-249.38999998569489</v>
      </c>
      <c r="M7" s="132">
        <f>'B7-CFlow'!M40</f>
        <v>913302.27999997139</v>
      </c>
    </row>
    <row r="8" spans="1:14" ht="12.75" customHeight="1">
      <c r="A8" s="128" t="s">
        <v>789</v>
      </c>
      <c r="B8" s="654"/>
      <c r="C8" s="130">
        <f>'B6-FinPos'!C8+'B6-FinPos'!C9-'B6-FinPos'!C31-'B8-ResRecon'!C7</f>
        <v>0</v>
      </c>
      <c r="D8" s="130">
        <f>'B6-FinPos'!D8+'B6-FinPos'!D9-'B6-FinPos'!D31-'B8-ResRecon'!D7</f>
        <v>0</v>
      </c>
      <c r="E8" s="130">
        <f>'B6-FinPos'!E8+'B6-FinPos'!E9-'B6-FinPos'!E31-'B8-ResRecon'!E7</f>
        <v>0</v>
      </c>
      <c r="F8" s="130">
        <f>'B6-FinPos'!F8+'B6-FinPos'!F9-'B6-FinPos'!F31-'B8-ResRecon'!F7</f>
        <v>0</v>
      </c>
      <c r="G8" s="130">
        <f>'B6-FinPos'!G8+'B6-FinPos'!G9-'B6-FinPos'!G31-'B8-ResRecon'!G7</f>
        <v>0</v>
      </c>
      <c r="H8" s="130">
        <f>'B6-FinPos'!H8+'B6-FinPos'!H9-'B6-FinPos'!H31-'B8-ResRecon'!H7</f>
        <v>0</v>
      </c>
      <c r="I8" s="130">
        <f>'B6-FinPos'!I8+'B6-FinPos'!I9-'B6-FinPos'!I31-'B8-ResRecon'!I7</f>
        <v>-462</v>
      </c>
      <c r="J8" s="131">
        <f>SUM(E8:I8)</f>
        <v>-462</v>
      </c>
      <c r="K8" s="131">
        <f>IF(D8=0,C8+J8,D8+J8)</f>
        <v>-462</v>
      </c>
      <c r="L8" s="131">
        <f>'B6-FinPos'!L8+'B6-FinPos'!L9-'B6-FinPos'!L31-'B8-ResRecon'!L7</f>
        <v>249.38999998569489</v>
      </c>
      <c r="M8" s="132">
        <f>'B6-FinPos'!M8+'B6-FinPos'!M9-'B6-FinPos'!M31-'B8-ResRecon'!M7</f>
        <v>-302.27999997138977</v>
      </c>
    </row>
    <row r="9" spans="1:14" ht="12.75" customHeight="1">
      <c r="A9" s="206" t="s">
        <v>807</v>
      </c>
      <c r="B9" s="203">
        <v>1</v>
      </c>
      <c r="C9" s="130">
        <f>'B6-FinPos'!C18</f>
        <v>5895596</v>
      </c>
      <c r="D9" s="131">
        <f>'B6-FinPos'!D18</f>
        <v>0</v>
      </c>
      <c r="E9" s="131">
        <f>'B6-FinPos'!E18</f>
        <v>0</v>
      </c>
      <c r="F9" s="131">
        <f>'B6-FinPos'!F18</f>
        <v>0</v>
      </c>
      <c r="G9" s="131">
        <f>'B6-FinPos'!G18</f>
        <v>0</v>
      </c>
      <c r="H9" s="131">
        <f>'B6-FinPos'!H18</f>
        <v>0</v>
      </c>
      <c r="I9" s="131">
        <f>'B6-FinPos'!I18</f>
        <v>0</v>
      </c>
      <c r="J9" s="131">
        <f>SUM(E9:I9)</f>
        <v>0</v>
      </c>
      <c r="K9" s="131">
        <f>IF(D9=0,C9+J9,D9+J9)</f>
        <v>5895596</v>
      </c>
      <c r="L9" s="131">
        <f>'B6-FinPos'!L18</f>
        <v>6995596</v>
      </c>
      <c r="M9" s="132">
        <f>'B6-FinPos'!M18</f>
        <v>8095596</v>
      </c>
    </row>
    <row r="10" spans="1:14" ht="12.75" customHeight="1">
      <c r="A10" s="207" t="s">
        <v>808</v>
      </c>
      <c r="B10" s="208"/>
      <c r="C10" s="209">
        <f t="shared" ref="C10:M10" si="0">SUM(C7:C9)</f>
        <v>18238579</v>
      </c>
      <c r="D10" s="210">
        <f t="shared" si="0"/>
        <v>0</v>
      </c>
      <c r="E10" s="210">
        <f t="shared" si="0"/>
        <v>0</v>
      </c>
      <c r="F10" s="210">
        <f t="shared" si="0"/>
        <v>0</v>
      </c>
      <c r="G10" s="210">
        <f t="shared" si="0"/>
        <v>0</v>
      </c>
      <c r="H10" s="210">
        <f t="shared" si="0"/>
        <v>0</v>
      </c>
      <c r="I10" s="210">
        <f t="shared" si="0"/>
        <v>-12342983</v>
      </c>
      <c r="J10" s="210">
        <f t="shared" si="0"/>
        <v>-12342983</v>
      </c>
      <c r="K10" s="210">
        <f t="shared" si="0"/>
        <v>5895596</v>
      </c>
      <c r="L10" s="210">
        <f t="shared" si="0"/>
        <v>6995596</v>
      </c>
      <c r="M10" s="211">
        <f t="shared" si="0"/>
        <v>9008596</v>
      </c>
    </row>
    <row r="11" spans="1:14" ht="5.0999999999999996" customHeight="1">
      <c r="A11" s="212"/>
      <c r="B11" s="203"/>
      <c r="C11" s="204"/>
      <c r="D11" s="137"/>
      <c r="E11" s="137"/>
      <c r="F11" s="137"/>
      <c r="G11" s="137"/>
      <c r="H11" s="137"/>
      <c r="I11" s="137"/>
      <c r="J11" s="137"/>
      <c r="K11" s="137"/>
      <c r="L11" s="137"/>
      <c r="M11" s="205"/>
    </row>
    <row r="12" spans="1:14" ht="12.75" customHeight="1">
      <c r="A12" s="202" t="s">
        <v>1285</v>
      </c>
      <c r="B12" s="203"/>
      <c r="C12" s="204"/>
      <c r="D12" s="137"/>
      <c r="E12" s="137"/>
      <c r="F12" s="137"/>
      <c r="G12" s="137"/>
      <c r="H12" s="137"/>
      <c r="I12" s="137"/>
      <c r="J12" s="137"/>
      <c r="K12" s="137"/>
      <c r="L12" s="137"/>
      <c r="M12" s="205"/>
    </row>
    <row r="13" spans="1:14" ht="12.75" customHeight="1">
      <c r="A13" s="206" t="s">
        <v>809</v>
      </c>
      <c r="B13" s="203"/>
      <c r="C13" s="130">
        <f>'SB2'!C33</f>
        <v>15000000</v>
      </c>
      <c r="D13" s="131">
        <f>'SB2'!D33</f>
        <v>0</v>
      </c>
      <c r="E13" s="131">
        <f>'SB2'!E33</f>
        <v>0</v>
      </c>
      <c r="F13" s="131">
        <f>'SB2'!F33</f>
        <v>0</v>
      </c>
      <c r="G13" s="131">
        <f>'SB2'!G33</f>
        <v>0</v>
      </c>
      <c r="H13" s="131">
        <f>'SB2'!H33</f>
        <v>0</v>
      </c>
      <c r="I13" s="131">
        <f>'SB2'!I33</f>
        <v>20969000</v>
      </c>
      <c r="J13" s="131">
        <f t="shared" ref="J13:J19" si="1">SUM(E13:I13)</f>
        <v>20969000</v>
      </c>
      <c r="K13" s="131">
        <f>IF(D13=0,C13+J13,D13+J13)</f>
        <v>35969000</v>
      </c>
      <c r="L13" s="131">
        <f>'SB2'!L33</f>
        <v>35969000</v>
      </c>
      <c r="M13" s="132">
        <f>'SB2'!M33</f>
        <v>35969000</v>
      </c>
    </row>
    <row r="14" spans="1:14" ht="12.75" customHeight="1">
      <c r="A14" s="206" t="s">
        <v>810</v>
      </c>
      <c r="B14" s="203"/>
      <c r="C14" s="129"/>
      <c r="D14" s="109"/>
      <c r="E14" s="109"/>
      <c r="F14" s="109"/>
      <c r="G14" s="109"/>
      <c r="H14" s="109"/>
      <c r="I14" s="109"/>
      <c r="J14" s="131">
        <f t="shared" si="1"/>
        <v>0</v>
      </c>
      <c r="K14" s="131">
        <f>IF(D14=0,C14+J14,D14+J14)</f>
        <v>0</v>
      </c>
      <c r="L14" s="109"/>
      <c r="M14" s="110"/>
      <c r="N14" s="870"/>
    </row>
    <row r="15" spans="1:14" ht="12.75" customHeight="1">
      <c r="A15" s="206" t="s">
        <v>811</v>
      </c>
      <c r="B15" s="203"/>
      <c r="C15" s="129"/>
      <c r="D15" s="129"/>
      <c r="E15" s="129"/>
      <c r="F15" s="129"/>
      <c r="G15" s="129"/>
      <c r="H15" s="129"/>
      <c r="I15" s="129"/>
      <c r="J15" s="131">
        <f t="shared" si="1"/>
        <v>0</v>
      </c>
      <c r="K15" s="131">
        <f>IF(D15=0,C15+J15,D15+J15)</f>
        <v>0</v>
      </c>
      <c r="L15" s="109"/>
      <c r="M15" s="110"/>
    </row>
    <row r="16" spans="1:14" ht="12.75" customHeight="1">
      <c r="A16" s="206" t="s">
        <v>812</v>
      </c>
      <c r="B16" s="203">
        <v>2</v>
      </c>
      <c r="C16" s="130">
        <f>-C40</f>
        <v>-169205834</v>
      </c>
      <c r="D16" s="131">
        <f>-D40</f>
        <v>0</v>
      </c>
      <c r="E16" s="109"/>
      <c r="F16" s="109"/>
      <c r="G16" s="109"/>
      <c r="H16" s="109"/>
      <c r="I16" s="131">
        <f>IF(D16=0,(K16-C16)-SUM(E16:H16),(K16-D16)-SUM(E16:H16))</f>
        <v>107773378</v>
      </c>
      <c r="J16" s="137">
        <f t="shared" si="1"/>
        <v>107773378</v>
      </c>
      <c r="K16" s="137">
        <f>-K40</f>
        <v>-61432456</v>
      </c>
      <c r="L16" s="131">
        <f>-L40</f>
        <v>-55873686</v>
      </c>
      <c r="M16" s="132">
        <f>-M40</f>
        <v>-50531741</v>
      </c>
    </row>
    <row r="17" spans="1:14" ht="12.75" customHeight="1">
      <c r="A17" s="206" t="s">
        <v>813</v>
      </c>
      <c r="B17" s="203"/>
      <c r="C17" s="129"/>
      <c r="D17" s="109"/>
      <c r="E17" s="109"/>
      <c r="F17" s="109"/>
      <c r="G17" s="109"/>
      <c r="H17" s="109"/>
      <c r="I17" s="109"/>
      <c r="J17" s="137">
        <f t="shared" si="1"/>
        <v>0</v>
      </c>
      <c r="K17" s="137">
        <f>IF(D17=0,C17+J17,D17+J17)</f>
        <v>0</v>
      </c>
      <c r="L17" s="109"/>
      <c r="M17" s="110"/>
    </row>
    <row r="18" spans="1:14" ht="12.75" customHeight="1">
      <c r="A18" s="206" t="s">
        <v>1286</v>
      </c>
      <c r="B18" s="203"/>
      <c r="C18" s="204">
        <f>C50</f>
        <v>5895596</v>
      </c>
      <c r="D18" s="137">
        <f>D50</f>
        <v>0</v>
      </c>
      <c r="E18" s="109"/>
      <c r="F18" s="109"/>
      <c r="G18" s="109"/>
      <c r="H18" s="109"/>
      <c r="I18" s="131">
        <f>IF(D18=0,(K18-C18)-SUM(E18:H18),(K18-D18)-SUM(E18:H18))</f>
        <v>0</v>
      </c>
      <c r="J18" s="137">
        <f t="shared" si="1"/>
        <v>0</v>
      </c>
      <c r="K18" s="137">
        <f>K50</f>
        <v>5895596</v>
      </c>
      <c r="L18" s="137">
        <f>L50</f>
        <v>6995596</v>
      </c>
      <c r="M18" s="205">
        <f>M50</f>
        <v>8095596</v>
      </c>
    </row>
    <row r="19" spans="1:14" ht="12.75" customHeight="1">
      <c r="A19" s="206" t="s">
        <v>814</v>
      </c>
      <c r="B19" s="203"/>
      <c r="C19" s="204">
        <f>C57</f>
        <v>0</v>
      </c>
      <c r="D19" s="137">
        <f>D57</f>
        <v>0</v>
      </c>
      <c r="E19" s="109"/>
      <c r="F19" s="109"/>
      <c r="G19" s="109"/>
      <c r="H19" s="109"/>
      <c r="I19" s="137">
        <f>IF(D19=0,(K19-C19)-SUM(E19:H19),(K19-D19)-SUM(E19:H19))</f>
        <v>0</v>
      </c>
      <c r="J19" s="137">
        <f t="shared" si="1"/>
        <v>0</v>
      </c>
      <c r="K19" s="137">
        <f>K57</f>
        <v>0</v>
      </c>
      <c r="L19" s="137">
        <f>L57</f>
        <v>0</v>
      </c>
      <c r="M19" s="205">
        <f>M57</f>
        <v>0</v>
      </c>
    </row>
    <row r="20" spans="1:14" ht="12.75" customHeight="1">
      <c r="A20" s="213" t="s">
        <v>1585</v>
      </c>
      <c r="B20" s="214"/>
      <c r="C20" s="215">
        <f t="shared" ref="C20:M20" si="2">SUM(C13:C19)</f>
        <v>-148310238</v>
      </c>
      <c r="D20" s="216">
        <f t="shared" si="2"/>
        <v>0</v>
      </c>
      <c r="E20" s="216">
        <f t="shared" si="2"/>
        <v>0</v>
      </c>
      <c r="F20" s="216">
        <f t="shared" si="2"/>
        <v>0</v>
      </c>
      <c r="G20" s="216">
        <f t="shared" si="2"/>
        <v>0</v>
      </c>
      <c r="H20" s="216">
        <f t="shared" si="2"/>
        <v>0</v>
      </c>
      <c r="I20" s="216">
        <f t="shared" si="2"/>
        <v>128742378</v>
      </c>
      <c r="J20" s="216">
        <f t="shared" si="2"/>
        <v>128742378</v>
      </c>
      <c r="K20" s="216">
        <f t="shared" si="2"/>
        <v>-19567860</v>
      </c>
      <c r="L20" s="216">
        <f t="shared" si="2"/>
        <v>-12909090</v>
      </c>
      <c r="M20" s="217">
        <f t="shared" si="2"/>
        <v>-6467145</v>
      </c>
    </row>
    <row r="21" spans="1:14" ht="12.75" customHeight="1">
      <c r="A21" s="213" t="s">
        <v>815</v>
      </c>
      <c r="B21" s="214"/>
      <c r="C21" s="215">
        <f t="shared" ref="C21:M21" si="3">C10-C20</f>
        <v>166548817</v>
      </c>
      <c r="D21" s="216">
        <f t="shared" si="3"/>
        <v>0</v>
      </c>
      <c r="E21" s="216">
        <f t="shared" si="3"/>
        <v>0</v>
      </c>
      <c r="F21" s="216">
        <f t="shared" si="3"/>
        <v>0</v>
      </c>
      <c r="G21" s="216">
        <f t="shared" si="3"/>
        <v>0</v>
      </c>
      <c r="H21" s="216">
        <f t="shared" si="3"/>
        <v>0</v>
      </c>
      <c r="I21" s="216">
        <f t="shared" si="3"/>
        <v>-141085361</v>
      </c>
      <c r="J21" s="216">
        <f t="shared" si="3"/>
        <v>-141085361</v>
      </c>
      <c r="K21" s="216">
        <f t="shared" si="3"/>
        <v>25463456</v>
      </c>
      <c r="L21" s="216">
        <f t="shared" si="3"/>
        <v>19904686</v>
      </c>
      <c r="M21" s="217">
        <f t="shared" si="3"/>
        <v>15475741</v>
      </c>
    </row>
    <row r="22" spans="1:14" ht="12.75" customHeight="1">
      <c r="A22" s="218" t="str">
        <f>head27a</f>
        <v>References</v>
      </c>
      <c r="B22" s="119"/>
      <c r="C22" s="119"/>
      <c r="D22" s="119"/>
      <c r="E22" s="119"/>
      <c r="F22" s="119"/>
      <c r="G22" s="119"/>
      <c r="H22" s="119"/>
      <c r="I22" s="119"/>
      <c r="J22" s="119"/>
      <c r="K22" s="119"/>
      <c r="L22" s="119"/>
      <c r="M22" s="219"/>
      <c r="N22" s="220"/>
    </row>
    <row r="23" spans="1:14" ht="12.75" customHeight="1">
      <c r="A23" s="221" t="s">
        <v>1189</v>
      </c>
      <c r="B23" s="119"/>
      <c r="C23" s="119"/>
      <c r="D23" s="119"/>
      <c r="E23" s="119"/>
      <c r="F23" s="119"/>
      <c r="G23" s="119"/>
      <c r="H23" s="119"/>
      <c r="I23" s="119"/>
      <c r="J23" s="119"/>
      <c r="K23" s="119"/>
      <c r="L23" s="119"/>
      <c r="M23" s="119"/>
      <c r="N23" s="220"/>
    </row>
    <row r="24" spans="1:14" ht="12.75" customHeight="1">
      <c r="A24" s="287" t="s">
        <v>1190</v>
      </c>
      <c r="B24" s="119"/>
      <c r="C24" s="119"/>
      <c r="D24" s="119"/>
      <c r="E24" s="119"/>
      <c r="F24" s="119"/>
      <c r="G24" s="119"/>
      <c r="H24" s="119"/>
      <c r="I24" s="119"/>
      <c r="J24" s="119"/>
      <c r="K24" s="119"/>
      <c r="L24" s="119"/>
      <c r="M24" s="119"/>
      <c r="N24" s="220"/>
    </row>
    <row r="25" spans="1:14" ht="12.75" customHeight="1">
      <c r="A25" s="1324" t="s">
        <v>1106</v>
      </c>
      <c r="B25" s="1324"/>
      <c r="C25" s="1324"/>
      <c r="D25" s="1324"/>
      <c r="E25" s="1324"/>
      <c r="F25" s="1324"/>
      <c r="G25" s="1324"/>
      <c r="H25" s="1324"/>
      <c r="I25" s="1324"/>
      <c r="J25" s="1324"/>
      <c r="K25" s="1324"/>
      <c r="L25" s="1324"/>
      <c r="M25" s="1324"/>
      <c r="N25" s="220"/>
    </row>
    <row r="26" spans="1:14" ht="25.5" customHeight="1">
      <c r="A26" s="1324" t="s">
        <v>1175</v>
      </c>
      <c r="B26" s="1324"/>
      <c r="C26" s="1324"/>
      <c r="D26" s="1324"/>
      <c r="E26" s="1324"/>
      <c r="F26" s="1324"/>
      <c r="G26" s="1324"/>
      <c r="H26" s="1324"/>
      <c r="I26" s="1324"/>
      <c r="J26" s="1324"/>
      <c r="K26" s="1324"/>
      <c r="L26" s="1324"/>
      <c r="M26" s="1324"/>
      <c r="N26" s="220"/>
    </row>
    <row r="27" spans="1:14" ht="12.75" customHeight="1">
      <c r="A27" s="1318" t="s">
        <v>1176</v>
      </c>
      <c r="B27" s="1318"/>
      <c r="C27" s="1318"/>
      <c r="D27" s="1318"/>
      <c r="E27" s="1318"/>
      <c r="F27" s="1318"/>
      <c r="G27" s="1318"/>
      <c r="H27" s="1318"/>
      <c r="I27" s="1318"/>
      <c r="J27" s="1318"/>
      <c r="K27" s="1318"/>
      <c r="L27" s="1318"/>
      <c r="M27" s="1318"/>
      <c r="N27" s="220"/>
    </row>
    <row r="28" spans="1:14" ht="12.75" customHeight="1">
      <c r="A28" s="1318" t="s">
        <v>1177</v>
      </c>
      <c r="B28" s="1318"/>
      <c r="C28" s="1318"/>
      <c r="D28" s="1318"/>
      <c r="E28" s="1318"/>
      <c r="F28" s="1318"/>
      <c r="G28" s="1318"/>
      <c r="H28" s="1318"/>
      <c r="I28" s="1318"/>
      <c r="J28" s="1318"/>
      <c r="K28" s="1318"/>
      <c r="L28" s="1318"/>
      <c r="M28" s="1318"/>
      <c r="N28" s="220"/>
    </row>
    <row r="29" spans="1:14" ht="12.75" customHeight="1">
      <c r="A29" s="99" t="s">
        <v>1178</v>
      </c>
      <c r="B29" s="93"/>
      <c r="C29" s="96"/>
      <c r="D29" s="96"/>
      <c r="E29" s="96"/>
      <c r="F29" s="96"/>
      <c r="G29" s="96"/>
      <c r="H29" s="96"/>
      <c r="I29" s="96"/>
      <c r="J29" s="96"/>
      <c r="K29" s="96"/>
      <c r="L29" s="96"/>
      <c r="M29" s="96"/>
      <c r="N29" s="220"/>
    </row>
    <row r="30" spans="1:14" ht="12.75" customHeight="1">
      <c r="A30" s="1318" t="s">
        <v>1179</v>
      </c>
      <c r="B30" s="1318"/>
      <c r="C30" s="1318"/>
      <c r="D30" s="1318"/>
      <c r="E30" s="1318"/>
      <c r="F30" s="1318"/>
      <c r="G30" s="1318"/>
      <c r="H30" s="1318"/>
      <c r="I30" s="1318"/>
      <c r="J30" s="1318"/>
      <c r="K30" s="1318"/>
      <c r="L30" s="1318"/>
      <c r="M30" s="1318"/>
      <c r="N30" s="220"/>
    </row>
    <row r="31" spans="1:14" ht="12.75" customHeight="1">
      <c r="A31" s="99" t="s">
        <v>648</v>
      </c>
      <c r="B31" s="93"/>
      <c r="C31" s="96"/>
      <c r="D31" s="96"/>
      <c r="E31" s="96"/>
      <c r="F31" s="96"/>
      <c r="G31" s="96"/>
      <c r="H31" s="96"/>
      <c r="I31" s="96"/>
      <c r="J31" s="96"/>
      <c r="K31" s="96"/>
      <c r="L31" s="96"/>
      <c r="M31" s="96"/>
      <c r="N31" s="220"/>
    </row>
    <row r="32" spans="1:14" ht="12.75" customHeight="1">
      <c r="A32" s="1318" t="s">
        <v>649</v>
      </c>
      <c r="B32" s="1318"/>
      <c r="C32" s="1318"/>
      <c r="D32" s="1318"/>
      <c r="E32" s="1318"/>
      <c r="F32" s="1318"/>
      <c r="G32" s="1318"/>
      <c r="H32" s="1318"/>
      <c r="I32" s="1318"/>
      <c r="J32" s="1318"/>
      <c r="K32" s="1318"/>
      <c r="L32" s="1318"/>
      <c r="M32" s="1318"/>
      <c r="N32" s="220"/>
    </row>
    <row r="33" spans="1:14" ht="12.75" customHeight="1">
      <c r="A33" s="220"/>
      <c r="B33" s="220"/>
      <c r="C33" s="220"/>
      <c r="D33" s="220"/>
      <c r="E33" s="220"/>
      <c r="F33" s="220"/>
      <c r="G33" s="220"/>
      <c r="H33" s="220"/>
      <c r="I33" s="220"/>
      <c r="J33" s="220"/>
      <c r="K33" s="220"/>
      <c r="L33" s="220"/>
      <c r="M33" s="220"/>
      <c r="N33" s="220"/>
    </row>
    <row r="34" spans="1:14" ht="12.75" customHeight="1">
      <c r="A34" s="222"/>
      <c r="B34" s="220"/>
      <c r="C34" s="220"/>
      <c r="D34" s="220"/>
      <c r="E34" s="220"/>
      <c r="F34" s="220"/>
      <c r="G34" s="220"/>
      <c r="H34" s="220"/>
      <c r="I34" s="220"/>
      <c r="J34" s="220"/>
      <c r="K34" s="220"/>
      <c r="L34" s="220"/>
      <c r="M34" s="220"/>
      <c r="N34" s="220"/>
    </row>
    <row r="35" spans="1:14" ht="12.75" customHeight="1">
      <c r="A35" s="223"/>
      <c r="B35" s="220"/>
      <c r="C35" s="224"/>
      <c r="D35" s="224"/>
      <c r="E35" s="224"/>
      <c r="F35" s="224"/>
      <c r="G35" s="224"/>
      <c r="H35" s="224"/>
      <c r="I35" s="224"/>
      <c r="J35" s="224"/>
      <c r="K35" s="224"/>
      <c r="L35" s="224"/>
      <c r="M35" s="224"/>
    </row>
    <row r="36" spans="1:14" ht="12.75" customHeight="1">
      <c r="A36" s="225"/>
      <c r="B36" s="220"/>
      <c r="C36" s="224"/>
      <c r="D36" s="224"/>
      <c r="E36" s="224"/>
      <c r="F36" s="224"/>
      <c r="G36" s="224"/>
      <c r="H36" s="224"/>
      <c r="I36" s="224"/>
      <c r="J36" s="224"/>
      <c r="K36" s="224"/>
      <c r="L36" s="224"/>
      <c r="M36" s="224"/>
    </row>
    <row r="37" spans="1:14" ht="12.75" customHeight="1">
      <c r="A37" s="222" t="str">
        <f>A16</f>
        <v>Other working capital requirements</v>
      </c>
      <c r="B37" s="220"/>
      <c r="C37" s="224"/>
      <c r="D37" s="224"/>
      <c r="E37" s="224"/>
      <c r="F37" s="224"/>
      <c r="G37" s="224"/>
      <c r="H37" s="224"/>
      <c r="I37" s="224"/>
      <c r="J37" s="224"/>
      <c r="K37" s="224"/>
      <c r="L37" s="224"/>
      <c r="M37" s="224"/>
    </row>
    <row r="38" spans="1:14" ht="12.75" customHeight="1">
      <c r="A38" s="225" t="s">
        <v>1606</v>
      </c>
      <c r="B38" s="220"/>
      <c r="C38" s="945">
        <f>IF(ISERROR(ROUND(C43*C44,0)),0,(ROUND(C43*C44,0)))</f>
        <v>266649080</v>
      </c>
      <c r="D38" s="945">
        <f>IF(ISERROR(ROUND(D43*D44,0)),0,(ROUND(D43*D44,0)))</f>
        <v>0</v>
      </c>
      <c r="E38" s="224"/>
      <c r="F38" s="224"/>
      <c r="G38" s="224"/>
      <c r="H38" s="224"/>
      <c r="I38" s="224"/>
      <c r="J38" s="224"/>
      <c r="K38" s="945">
        <f>IF(ISERROR(ROUND(K43*K44,0)),0,(ROUND(K43*K44,0)))</f>
        <v>158875702</v>
      </c>
      <c r="L38" s="945">
        <f>IF(ISERROR(ROUND(L43*L44,0)),0,(ROUND(L43*L44,0)))</f>
        <v>156333053</v>
      </c>
      <c r="M38" s="945">
        <f>IF(ISERROR(ROUND(M43*M44,0)),0,(ROUND(M43*M44,0)))</f>
        <v>154103283</v>
      </c>
    </row>
    <row r="39" spans="1:14" ht="12.75" customHeight="1">
      <c r="A39" s="225" t="s">
        <v>1607</v>
      </c>
      <c r="B39" s="220"/>
      <c r="C39" s="945">
        <f>'SB2'!C32</f>
        <v>97443246</v>
      </c>
      <c r="D39" s="945">
        <f>'SB2'!D32</f>
        <v>0</v>
      </c>
      <c r="E39" s="220"/>
      <c r="F39" s="220"/>
      <c r="G39" s="220"/>
      <c r="H39" s="220"/>
      <c r="I39" s="220"/>
      <c r="J39" s="220"/>
      <c r="K39" s="945">
        <f>'SB2'!K32</f>
        <v>97443246</v>
      </c>
      <c r="L39" s="945">
        <f>'SB2'!L32</f>
        <v>100459367</v>
      </c>
      <c r="M39" s="945">
        <f>'SB2'!M32</f>
        <v>103571542</v>
      </c>
    </row>
    <row r="40" spans="1:14" ht="12.75" customHeight="1" thickBot="1">
      <c r="A40" s="225" t="s">
        <v>823</v>
      </c>
      <c r="B40" s="220"/>
      <c r="C40" s="946">
        <f>C38-C39</f>
        <v>169205834</v>
      </c>
      <c r="D40" s="946">
        <f>D38-D39</f>
        <v>0</v>
      </c>
      <c r="E40" s="224"/>
      <c r="F40" s="224"/>
      <c r="G40" s="224"/>
      <c r="H40" s="224"/>
      <c r="I40" s="224"/>
      <c r="J40" s="224"/>
      <c r="K40" s="946">
        <f>K38-K39</f>
        <v>61432456</v>
      </c>
      <c r="L40" s="946">
        <f>L38-L39</f>
        <v>55873686</v>
      </c>
      <c r="M40" s="946">
        <f>M38-M39</f>
        <v>50531741</v>
      </c>
    </row>
    <row r="41" spans="1:14" ht="12.75" customHeight="1" thickTop="1">
      <c r="A41" s="225"/>
      <c r="B41" s="220"/>
      <c r="C41" s="226"/>
      <c r="D41" s="226"/>
      <c r="E41" s="226"/>
      <c r="F41" s="226"/>
      <c r="G41" s="226"/>
      <c r="H41" s="226"/>
      <c r="I41" s="226"/>
      <c r="J41" s="226"/>
      <c r="K41" s="226"/>
      <c r="L41" s="226"/>
      <c r="M41" s="226"/>
    </row>
    <row r="42" spans="1:14" ht="12.75" customHeight="1">
      <c r="A42" s="227" t="s">
        <v>824</v>
      </c>
      <c r="B42" s="220"/>
      <c r="C42" s="224"/>
      <c r="D42" s="224"/>
      <c r="E42" s="224"/>
      <c r="F42" s="224"/>
      <c r="G42" s="224"/>
      <c r="H42" s="224"/>
      <c r="I42" s="224"/>
      <c r="J42" s="224"/>
      <c r="K42" s="224"/>
      <c r="L42" s="224"/>
      <c r="M42" s="224"/>
    </row>
    <row r="43" spans="1:14" ht="12.75" customHeight="1">
      <c r="A43" s="225" t="s">
        <v>1605</v>
      </c>
      <c r="B43" s="220"/>
      <c r="C43" s="945">
        <f>'B6-FinPos'!C10+'B6-FinPos'!C11+'B6-FinPos'!C17</f>
        <v>149412257</v>
      </c>
      <c r="D43" s="945">
        <f>'B6-FinPos'!D10+'B6-FinPos'!D11+'B6-FinPos'!D17</f>
        <v>0</v>
      </c>
      <c r="E43" s="226"/>
      <c r="F43" s="226"/>
      <c r="G43" s="226"/>
      <c r="H43" s="226"/>
      <c r="I43" s="226"/>
      <c r="J43" s="226"/>
      <c r="K43" s="945">
        <f>'B6-FinPos'!K10+'B6-FinPos'!K11+'B6-FinPos'!K17</f>
        <v>149412257</v>
      </c>
      <c r="L43" s="945">
        <f>'B6-FinPos'!L10+'B6-FinPos'!L11+'B6-FinPos'!L17</f>
        <v>146935207</v>
      </c>
      <c r="M43" s="945">
        <f>'B6-FinPos'!M10+'B6-FinPos'!M11+'B6-FinPos'!M17</f>
        <v>144995570</v>
      </c>
    </row>
    <row r="44" spans="1:14" ht="12.75" customHeight="1">
      <c r="A44" s="220" t="s">
        <v>1608</v>
      </c>
      <c r="B44" s="220"/>
      <c r="C44" s="226">
        <f>IF(ISERROR('SB6'!G10),0,('SB6'!G10))</f>
        <v>1.7846533190976974</v>
      </c>
      <c r="D44" s="226">
        <f>IF(ISERROR('SB6'!H10),0,('SB6'!H10))</f>
        <v>0</v>
      </c>
      <c r="E44" s="220"/>
      <c r="F44" s="220"/>
      <c r="G44" s="220"/>
      <c r="H44" s="220"/>
      <c r="I44" s="220"/>
      <c r="J44" s="220"/>
      <c r="K44" s="226">
        <f>IF(ISERROR('SB6'!I10),0,('SB6'!I10))</f>
        <v>1.0633378075955324</v>
      </c>
      <c r="L44" s="226">
        <f>IF(ISERROR('SB6'!J10),0,('SB6'!J10))</f>
        <v>1.0639591155501027</v>
      </c>
      <c r="M44" s="226">
        <f>IF(ISERROR('SB6'!K10),0,('SB6'!K10))</f>
        <v>1.0628137355895535</v>
      </c>
    </row>
    <row r="45" spans="1:14" ht="12.75" customHeight="1">
      <c r="A45" s="220"/>
      <c r="B45" s="220"/>
      <c r="C45" s="220"/>
      <c r="D45" s="220"/>
      <c r="E45" s="220"/>
      <c r="F45" s="220"/>
      <c r="G45" s="220"/>
      <c r="H45" s="220"/>
      <c r="I45" s="220"/>
      <c r="J45" s="220"/>
      <c r="K45" s="220"/>
      <c r="L45" s="220"/>
      <c r="M45" s="220"/>
    </row>
    <row r="46" spans="1:14" ht="12.75" customHeight="1">
      <c r="A46" s="228" t="str">
        <f>A18</f>
        <v>Long term investments committed</v>
      </c>
      <c r="B46" s="220"/>
      <c r="C46" s="220"/>
      <c r="D46" s="220"/>
      <c r="E46" s="220"/>
      <c r="F46" s="220"/>
      <c r="G46" s="220"/>
      <c r="H46" s="220"/>
      <c r="I46" s="220"/>
      <c r="J46" s="220"/>
      <c r="K46" s="220"/>
      <c r="L46" s="220"/>
      <c r="M46" s="220"/>
    </row>
    <row r="47" spans="1:14" ht="12.75" customHeight="1">
      <c r="A47" s="1197" t="s">
        <v>1829</v>
      </c>
      <c r="B47" s="229"/>
      <c r="C47" s="1198">
        <v>5895596</v>
      </c>
      <c r="D47" s="230"/>
      <c r="E47" s="220"/>
      <c r="F47" s="220"/>
      <c r="G47" s="220"/>
      <c r="H47" s="220"/>
      <c r="I47" s="220"/>
      <c r="J47" s="220"/>
      <c r="K47" s="1199">
        <v>5895596</v>
      </c>
      <c r="L47" s="1199">
        <v>6995596</v>
      </c>
      <c r="M47" s="1199">
        <v>8095596</v>
      </c>
    </row>
    <row r="48" spans="1:14" ht="12.75" customHeight="1">
      <c r="A48" s="231"/>
      <c r="B48" s="229"/>
      <c r="C48" s="230"/>
      <c r="D48" s="230"/>
      <c r="E48" s="220"/>
      <c r="F48" s="220"/>
      <c r="G48" s="220"/>
      <c r="H48" s="220"/>
      <c r="I48" s="220"/>
      <c r="J48" s="220"/>
      <c r="K48" s="230"/>
      <c r="L48" s="230"/>
      <c r="M48" s="230"/>
    </row>
    <row r="49" spans="1:13" ht="12.75" customHeight="1">
      <c r="A49" s="231"/>
      <c r="B49" s="229"/>
      <c r="C49" s="230"/>
      <c r="D49" s="230"/>
      <c r="E49" s="220"/>
      <c r="F49" s="220"/>
      <c r="G49" s="220"/>
      <c r="H49" s="220"/>
      <c r="I49" s="220"/>
      <c r="J49" s="220"/>
      <c r="K49" s="230"/>
      <c r="L49" s="230"/>
      <c r="M49" s="230"/>
    </row>
    <row r="50" spans="1:13" ht="12.75" customHeight="1" thickBot="1">
      <c r="A50" s="220"/>
      <c r="B50" s="220"/>
      <c r="C50" s="946">
        <f>SUM(C47:C49)</f>
        <v>5895596</v>
      </c>
      <c r="D50" s="946">
        <f>SUM(D47:D49)</f>
        <v>0</v>
      </c>
      <c r="E50" s="224"/>
      <c r="F50" s="224"/>
      <c r="G50" s="224"/>
      <c r="H50" s="224"/>
      <c r="I50" s="224"/>
      <c r="J50" s="224"/>
      <c r="K50" s="946">
        <f>SUM(K47:K49)</f>
        <v>5895596</v>
      </c>
      <c r="L50" s="946">
        <f>SUM(L47:L49)</f>
        <v>6995596</v>
      </c>
      <c r="M50" s="946">
        <f>SUM(M47:M49)</f>
        <v>8095596</v>
      </c>
    </row>
    <row r="51" spans="1:13" ht="12.75" customHeight="1" thickTop="1">
      <c r="A51" s="220"/>
      <c r="B51" s="220"/>
      <c r="C51" s="220"/>
      <c r="D51" s="220"/>
      <c r="E51" s="220"/>
      <c r="F51" s="220"/>
      <c r="G51" s="220"/>
      <c r="H51" s="220"/>
      <c r="I51" s="220"/>
      <c r="J51" s="220"/>
      <c r="K51" s="220"/>
      <c r="L51" s="220"/>
      <c r="M51" s="220"/>
    </row>
    <row r="52" spans="1:13" ht="12.75" customHeight="1">
      <c r="A52" s="228" t="str">
        <f>A19</f>
        <v>Reserves to be backed by cash/investments</v>
      </c>
      <c r="B52" s="220"/>
      <c r="C52" s="220"/>
      <c r="D52" s="220"/>
      <c r="E52" s="220"/>
      <c r="F52" s="220"/>
      <c r="G52" s="220"/>
      <c r="H52" s="220"/>
      <c r="I52" s="220"/>
      <c r="J52" s="220"/>
      <c r="K52" s="220"/>
      <c r="L52" s="220"/>
      <c r="M52" s="220"/>
    </row>
    <row r="53" spans="1:13" ht="12.75" customHeight="1">
      <c r="A53" s="231" t="str">
        <f>'SB2'!A56</f>
        <v>Housing Development Fund</v>
      </c>
      <c r="B53" s="225"/>
      <c r="C53" s="230">
        <f>'SB2'!C56</f>
        <v>0</v>
      </c>
      <c r="D53" s="230">
        <f>'SB2'!D56</f>
        <v>0</v>
      </c>
      <c r="E53" s="220"/>
      <c r="F53" s="220"/>
      <c r="G53" s="220"/>
      <c r="H53" s="220"/>
      <c r="I53" s="220"/>
      <c r="J53" s="220"/>
      <c r="K53" s="230">
        <f>'SB2'!K56</f>
        <v>0</v>
      </c>
      <c r="L53" s="230">
        <f>'SB2'!L56</f>
        <v>0</v>
      </c>
      <c r="M53" s="230">
        <f>'SB2'!M56</f>
        <v>0</v>
      </c>
    </row>
    <row r="54" spans="1:13" ht="12.75" customHeight="1">
      <c r="A54" s="231" t="str">
        <f>'SB2'!A57</f>
        <v>Capital replacement</v>
      </c>
      <c r="B54" s="220"/>
      <c r="C54" s="230">
        <f>'SB2'!C57</f>
        <v>0</v>
      </c>
      <c r="D54" s="230">
        <f>'SB2'!D57</f>
        <v>0</v>
      </c>
      <c r="E54" s="220"/>
      <c r="F54" s="220"/>
      <c r="G54" s="220"/>
      <c r="H54" s="220"/>
      <c r="I54" s="220"/>
      <c r="J54" s="220"/>
      <c r="K54" s="230">
        <f>'SB2'!K57</f>
        <v>0</v>
      </c>
      <c r="L54" s="230">
        <f>'SB2'!L57</f>
        <v>0</v>
      </c>
      <c r="M54" s="230">
        <f>'SB2'!M57</f>
        <v>0</v>
      </c>
    </row>
    <row r="55" spans="1:13" ht="12.75" customHeight="1">
      <c r="A55" s="231" t="str">
        <f>'SB2'!A58</f>
        <v>Self-insurance</v>
      </c>
      <c r="B55" s="220"/>
      <c r="C55" s="230">
        <f>'SB2'!C58</f>
        <v>0</v>
      </c>
      <c r="D55" s="230">
        <f>'SB2'!D58</f>
        <v>0</v>
      </c>
      <c r="E55" s="220"/>
      <c r="F55" s="220"/>
      <c r="G55" s="220"/>
      <c r="H55" s="220"/>
      <c r="I55" s="220"/>
      <c r="J55" s="220"/>
      <c r="K55" s="230">
        <f>'SB2'!K58</f>
        <v>0</v>
      </c>
      <c r="L55" s="230">
        <f>'SB2'!L58</f>
        <v>0</v>
      </c>
      <c r="M55" s="230">
        <f>'SB2'!M58</f>
        <v>0</v>
      </c>
    </row>
    <row r="56" spans="1:13" ht="12.75" customHeight="1">
      <c r="A56" s="231" t="str">
        <f>'SB2'!A59</f>
        <v>Other reserves (list)</v>
      </c>
      <c r="B56" s="220"/>
      <c r="C56" s="230">
        <f>'SB2'!C59</f>
        <v>0</v>
      </c>
      <c r="D56" s="230">
        <f>'SB2'!D59</f>
        <v>0</v>
      </c>
      <c r="E56" s="220"/>
      <c r="F56" s="220"/>
      <c r="G56" s="220"/>
      <c r="H56" s="220"/>
      <c r="I56" s="220"/>
      <c r="J56" s="220"/>
      <c r="K56" s="230">
        <f>'SB2'!K59</f>
        <v>0</v>
      </c>
      <c r="L56" s="230">
        <f>'SB2'!L59</f>
        <v>0</v>
      </c>
      <c r="M56" s="230">
        <f>'SB2'!M59</f>
        <v>0</v>
      </c>
    </row>
    <row r="57" spans="1:13" ht="12.75" customHeight="1" thickBot="1">
      <c r="A57" s="220"/>
      <c r="B57" s="220"/>
      <c r="C57" s="946">
        <f>SUM(C53:C56)</f>
        <v>0</v>
      </c>
      <c r="D57" s="946">
        <f>SUM(D53:D56)</f>
        <v>0</v>
      </c>
      <c r="E57" s="220"/>
      <c r="F57" s="220"/>
      <c r="G57" s="220"/>
      <c r="H57" s="220"/>
      <c r="I57" s="220"/>
      <c r="J57" s="220"/>
      <c r="K57" s="946">
        <f>SUM(K53:K56)</f>
        <v>0</v>
      </c>
      <c r="L57" s="946">
        <f>SUM(L53:L56)</f>
        <v>0</v>
      </c>
      <c r="M57" s="946">
        <f>SUM(M53:M56)</f>
        <v>0</v>
      </c>
    </row>
    <row r="58" spans="1:13" ht="12.75" customHeight="1" thickTop="1">
      <c r="A58" s="220"/>
      <c r="B58" s="232"/>
      <c r="C58" s="220"/>
      <c r="D58" s="220"/>
      <c r="E58" s="220"/>
      <c r="F58" s="220"/>
      <c r="G58" s="220"/>
      <c r="H58" s="220"/>
      <c r="I58" s="220"/>
      <c r="J58" s="220"/>
      <c r="K58" s="220"/>
      <c r="L58" s="220"/>
      <c r="M58" s="220"/>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mergeCells count="9">
    <mergeCell ref="A32:M32"/>
    <mergeCell ref="A28:M28"/>
    <mergeCell ref="A27:M27"/>
    <mergeCell ref="B2:B4"/>
    <mergeCell ref="A2:A4"/>
    <mergeCell ref="A26:M26"/>
    <mergeCell ref="C2:K2"/>
    <mergeCell ref="A25:M25"/>
    <mergeCell ref="A30:M30"/>
  </mergeCells>
  <phoneticPr fontId="17"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sheetPr codeName="Sheet89" enableFormatConditionsCalculation="0">
    <tabColor indexed="44"/>
    <pageSetUpPr fitToPage="1"/>
  </sheetPr>
  <dimension ref="A1:O156"/>
  <sheetViews>
    <sheetView showGridLines="0" workbookViewId="0">
      <pane xSplit="2" ySplit="5" topLeftCell="C75" activePane="bottomRight" state="frozen"/>
      <selection activeCell="M17" sqref="M17:M63"/>
      <selection pane="topRight" activeCell="M17" sqref="M17:M63"/>
      <selection pane="bottomLeft" activeCell="M17" sqref="M17:M63"/>
      <selection pane="bottomRight" activeCell="I60" sqref="I60:I63"/>
    </sheetView>
  </sheetViews>
  <sheetFormatPr defaultRowHeight="12.75"/>
  <cols>
    <col min="1" max="1" width="32"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"&amp;_ADJ9&amp;" - "&amp;Date</f>
        <v>LIM333 Greater Tzaneen - Table B9 Consolidated Asset Management - 26 FEBRUARY 2014</v>
      </c>
      <c r="B1" s="5"/>
      <c r="C1" s="58"/>
    </row>
    <row r="2" spans="1:14"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138" t="s">
        <v>825</v>
      </c>
      <c r="B6" s="73"/>
      <c r="C6" s="139"/>
      <c r="D6" s="75"/>
      <c r="E6" s="75"/>
      <c r="F6" s="75"/>
      <c r="G6" s="75"/>
      <c r="H6" s="75"/>
      <c r="I6" s="75"/>
      <c r="J6" s="75"/>
      <c r="K6" s="140"/>
      <c r="L6" s="140"/>
      <c r="M6" s="141"/>
      <c r="N6" s="127"/>
    </row>
    <row r="7" spans="1:14" ht="12.75" customHeight="1">
      <c r="A7" s="233" t="s">
        <v>1280</v>
      </c>
      <c r="B7" s="73">
        <v>1</v>
      </c>
      <c r="C7" s="139">
        <f>SUM(C13:C20)</f>
        <v>152329847</v>
      </c>
      <c r="D7" s="140">
        <f>SUM(D13:D20)</f>
        <v>0</v>
      </c>
      <c r="E7" s="140">
        <f t="shared" ref="E7:M7" si="0">SUM(E13:E20)</f>
        <v>0</v>
      </c>
      <c r="F7" s="140">
        <f t="shared" si="0"/>
        <v>0</v>
      </c>
      <c r="G7" s="140">
        <f t="shared" si="0"/>
        <v>0</v>
      </c>
      <c r="H7" s="140">
        <f t="shared" si="0"/>
        <v>20350000</v>
      </c>
      <c r="I7" s="140">
        <f t="shared" si="0"/>
        <v>39778754</v>
      </c>
      <c r="J7" s="140">
        <f t="shared" si="0"/>
        <v>60128754</v>
      </c>
      <c r="K7" s="140">
        <f t="shared" si="0"/>
        <v>212458601</v>
      </c>
      <c r="L7" s="140">
        <f t="shared" si="0"/>
        <v>153060976</v>
      </c>
      <c r="M7" s="141">
        <f t="shared" si="0"/>
        <v>201617514</v>
      </c>
      <c r="N7" s="127"/>
    </row>
    <row r="8" spans="1:14" ht="12.75" customHeight="1">
      <c r="A8" s="862" t="s">
        <v>826</v>
      </c>
      <c r="B8" s="73"/>
      <c r="C8" s="130">
        <f>SB18a!C9</f>
        <v>93403347</v>
      </c>
      <c r="D8" s="131">
        <f>SB18a!D9</f>
        <v>0</v>
      </c>
      <c r="E8" s="131">
        <f>SB18a!E9</f>
        <v>0</v>
      </c>
      <c r="F8" s="131">
        <f>SB18a!F9</f>
        <v>0</v>
      </c>
      <c r="G8" s="131">
        <f>SB18a!G9</f>
        <v>0</v>
      </c>
      <c r="H8" s="131">
        <f>SB18a!H9</f>
        <v>0</v>
      </c>
      <c r="I8" s="131">
        <f>SB18a!I9</f>
        <v>38472050</v>
      </c>
      <c r="J8" s="171">
        <f t="shared" ref="J8:J20" si="1">SUM(E8:I8)</f>
        <v>38472050</v>
      </c>
      <c r="K8" s="171">
        <f t="shared" ref="K8:K20" si="2">IF(D8=0,C8+J8,D8+J8)</f>
        <v>131875397</v>
      </c>
      <c r="L8" s="131">
        <f>SB18a!L9</f>
        <v>96478056</v>
      </c>
      <c r="M8" s="132">
        <f>SB18a!M9</f>
        <v>94671808</v>
      </c>
      <c r="N8" s="127"/>
    </row>
    <row r="9" spans="1:14" ht="12.75" customHeight="1">
      <c r="A9" s="862" t="s">
        <v>827</v>
      </c>
      <c r="B9" s="73"/>
      <c r="C9" s="130">
        <f>SB18a!C12</f>
        <v>34660000</v>
      </c>
      <c r="D9" s="131">
        <f>SB18a!D12</f>
        <v>0</v>
      </c>
      <c r="E9" s="131">
        <f>SB18a!E12</f>
        <v>0</v>
      </c>
      <c r="F9" s="131">
        <f>SB18a!F12</f>
        <v>0</v>
      </c>
      <c r="G9" s="131">
        <f>SB18a!G12</f>
        <v>0</v>
      </c>
      <c r="H9" s="131">
        <f>SB18a!H12</f>
        <v>2000000</v>
      </c>
      <c r="I9" s="131">
        <f>SB18a!I12</f>
        <v>-9500000</v>
      </c>
      <c r="J9" s="171">
        <f t="shared" si="1"/>
        <v>-7500000</v>
      </c>
      <c r="K9" s="171">
        <f t="shared" si="2"/>
        <v>27160000</v>
      </c>
      <c r="L9" s="131">
        <f>SB18a!L12</f>
        <v>37250000</v>
      </c>
      <c r="M9" s="132">
        <f>SB18a!M12</f>
        <v>52756389</v>
      </c>
      <c r="N9" s="127"/>
    </row>
    <row r="10" spans="1:14" ht="12.75" customHeight="1">
      <c r="A10" s="862" t="s">
        <v>828</v>
      </c>
      <c r="B10" s="73"/>
      <c r="C10" s="130">
        <f>SB18a!C16</f>
        <v>0</v>
      </c>
      <c r="D10" s="131">
        <f>SB18a!D16</f>
        <v>0</v>
      </c>
      <c r="E10" s="131">
        <f>SB18a!E16</f>
        <v>0</v>
      </c>
      <c r="F10" s="131">
        <f>SB18a!F16</f>
        <v>0</v>
      </c>
      <c r="G10" s="131">
        <f>SB18a!G16</f>
        <v>0</v>
      </c>
      <c r="H10" s="131">
        <f>SB18a!H16</f>
        <v>0</v>
      </c>
      <c r="I10" s="131">
        <f>SB18a!I16</f>
        <v>0</v>
      </c>
      <c r="J10" s="171">
        <f t="shared" si="1"/>
        <v>0</v>
      </c>
      <c r="K10" s="171">
        <f t="shared" si="2"/>
        <v>0</v>
      </c>
      <c r="L10" s="131">
        <f>SB18a!L16</f>
        <v>0</v>
      </c>
      <c r="M10" s="132">
        <f>SB18a!M16</f>
        <v>0</v>
      </c>
      <c r="N10" s="127"/>
    </row>
    <row r="11" spans="1:14" ht="12.75" customHeight="1">
      <c r="A11" s="862" t="s">
        <v>829</v>
      </c>
      <c r="B11" s="73"/>
      <c r="C11" s="130">
        <f>SB18a!C20</f>
        <v>0</v>
      </c>
      <c r="D11" s="131">
        <f>SB18a!D20</f>
        <v>0</v>
      </c>
      <c r="E11" s="131">
        <f>SB18a!E20</f>
        <v>0</v>
      </c>
      <c r="F11" s="131">
        <f>SB18a!F20</f>
        <v>0</v>
      </c>
      <c r="G11" s="131">
        <f>SB18a!G20</f>
        <v>0</v>
      </c>
      <c r="H11" s="131">
        <f>SB18a!H20</f>
        <v>0</v>
      </c>
      <c r="I11" s="131">
        <f>SB18a!I20</f>
        <v>0</v>
      </c>
      <c r="J11" s="171">
        <f t="shared" si="1"/>
        <v>0</v>
      </c>
      <c r="K11" s="171">
        <f t="shared" si="2"/>
        <v>0</v>
      </c>
      <c r="L11" s="131">
        <f>SB18a!L20</f>
        <v>0</v>
      </c>
      <c r="M11" s="132">
        <f>SB18a!M20</f>
        <v>0</v>
      </c>
      <c r="N11" s="127"/>
    </row>
    <row r="12" spans="1:14" ht="12.75" customHeight="1">
      <c r="A12" s="862" t="s">
        <v>830</v>
      </c>
      <c r="B12" s="73"/>
      <c r="C12" s="130">
        <f>SB18a!C23</f>
        <v>100000</v>
      </c>
      <c r="D12" s="131">
        <f>SB18a!D23</f>
        <v>0</v>
      </c>
      <c r="E12" s="131">
        <f>SB18a!E23</f>
        <v>0</v>
      </c>
      <c r="F12" s="131">
        <f>SB18a!F23</f>
        <v>0</v>
      </c>
      <c r="G12" s="131">
        <f>SB18a!G23</f>
        <v>0</v>
      </c>
      <c r="H12" s="131">
        <f>SB18a!H23</f>
        <v>0</v>
      </c>
      <c r="I12" s="131">
        <f>SB18a!I23</f>
        <v>0</v>
      </c>
      <c r="J12" s="171">
        <f t="shared" si="1"/>
        <v>0</v>
      </c>
      <c r="K12" s="171">
        <f t="shared" si="2"/>
        <v>100000</v>
      </c>
      <c r="L12" s="131">
        <f>SB18a!L23</f>
        <v>3700000</v>
      </c>
      <c r="M12" s="132">
        <f>SB18a!M23</f>
        <v>3175000</v>
      </c>
      <c r="N12" s="127"/>
    </row>
    <row r="13" spans="1:14" ht="12.75" customHeight="1">
      <c r="A13" s="163" t="s">
        <v>831</v>
      </c>
      <c r="B13" s="73"/>
      <c r="C13" s="726">
        <f>SUM(C8:C12)</f>
        <v>128163347</v>
      </c>
      <c r="D13" s="265">
        <f t="shared" ref="D13:J13" si="3">SUM(D8:D12)</f>
        <v>0</v>
      </c>
      <c r="E13" s="265">
        <f t="shared" si="3"/>
        <v>0</v>
      </c>
      <c r="F13" s="265">
        <f t="shared" si="3"/>
        <v>0</v>
      </c>
      <c r="G13" s="265">
        <f t="shared" si="3"/>
        <v>0</v>
      </c>
      <c r="H13" s="265">
        <f t="shared" si="3"/>
        <v>2000000</v>
      </c>
      <c r="I13" s="265">
        <f t="shared" si="3"/>
        <v>28972050</v>
      </c>
      <c r="J13" s="601">
        <f t="shared" si="3"/>
        <v>30972050</v>
      </c>
      <c r="K13" s="601">
        <f t="shared" si="2"/>
        <v>159135397</v>
      </c>
      <c r="L13" s="265">
        <f>SUM(L8:L12)</f>
        <v>137428056</v>
      </c>
      <c r="M13" s="266">
        <f>SUM(M8:M12)</f>
        <v>150603197</v>
      </c>
      <c r="N13" s="127"/>
    </row>
    <row r="14" spans="1:14" ht="12.75" customHeight="1">
      <c r="A14" s="163" t="s">
        <v>832</v>
      </c>
      <c r="B14" s="73"/>
      <c r="C14" s="130">
        <f>SB18a!C29</f>
        <v>14042000</v>
      </c>
      <c r="D14" s="131">
        <f>SB18a!D29</f>
        <v>0</v>
      </c>
      <c r="E14" s="131">
        <f>SB18a!E29</f>
        <v>0</v>
      </c>
      <c r="F14" s="131">
        <f>SB18a!F29</f>
        <v>0</v>
      </c>
      <c r="G14" s="131">
        <f>SB18a!G29</f>
        <v>0</v>
      </c>
      <c r="H14" s="131">
        <f>SB18a!H29</f>
        <v>0</v>
      </c>
      <c r="I14" s="131">
        <f>SB18a!I29</f>
        <v>4750000</v>
      </c>
      <c r="J14" s="171">
        <f t="shared" si="1"/>
        <v>4750000</v>
      </c>
      <c r="K14" s="171">
        <f t="shared" si="2"/>
        <v>18792000</v>
      </c>
      <c r="L14" s="131">
        <f>SB18a!L29</f>
        <v>4500000</v>
      </c>
      <c r="M14" s="132">
        <f>SB18a!M29</f>
        <v>16642600</v>
      </c>
      <c r="N14" s="127"/>
    </row>
    <row r="15" spans="1:14" ht="12.75" customHeight="1">
      <c r="A15" s="163" t="s">
        <v>833</v>
      </c>
      <c r="B15" s="73"/>
      <c r="C15" s="130">
        <f>SB18a!C45</f>
        <v>0</v>
      </c>
      <c r="D15" s="131">
        <f>SB18a!D45</f>
        <v>0</v>
      </c>
      <c r="E15" s="131">
        <f>SB18a!E45</f>
        <v>0</v>
      </c>
      <c r="F15" s="131">
        <f>SB18a!F45</f>
        <v>0</v>
      </c>
      <c r="G15" s="131">
        <f>SB18a!G45</f>
        <v>0</v>
      </c>
      <c r="H15" s="131">
        <f>SB18a!H45</f>
        <v>0</v>
      </c>
      <c r="I15" s="131">
        <f>SB18a!I45</f>
        <v>0</v>
      </c>
      <c r="J15" s="171">
        <f t="shared" si="1"/>
        <v>0</v>
      </c>
      <c r="K15" s="171">
        <f t="shared" si="2"/>
        <v>0</v>
      </c>
      <c r="L15" s="131">
        <f>SB18a!L45</f>
        <v>0</v>
      </c>
      <c r="M15" s="132">
        <f>SB18a!M45</f>
        <v>0</v>
      </c>
      <c r="N15" s="127"/>
    </row>
    <row r="16" spans="1:14" ht="12.75" customHeight="1">
      <c r="A16" s="163" t="s">
        <v>834</v>
      </c>
      <c r="B16" s="73"/>
      <c r="C16" s="130">
        <f>SB18a!C49</f>
        <v>1000000</v>
      </c>
      <c r="D16" s="131">
        <f>SB18a!D49</f>
        <v>0</v>
      </c>
      <c r="E16" s="131">
        <f>SB18a!E49</f>
        <v>0</v>
      </c>
      <c r="F16" s="131">
        <f>SB18a!F49</f>
        <v>0</v>
      </c>
      <c r="G16" s="131">
        <f>SB18a!G49</f>
        <v>0</v>
      </c>
      <c r="H16" s="131">
        <f>SB18a!H49</f>
        <v>0</v>
      </c>
      <c r="I16" s="131">
        <f>SB18a!I49</f>
        <v>-1000000</v>
      </c>
      <c r="J16" s="171">
        <f t="shared" si="1"/>
        <v>-1000000</v>
      </c>
      <c r="K16" s="171">
        <f t="shared" si="2"/>
        <v>0</v>
      </c>
      <c r="L16" s="131">
        <f>SB18a!L49</f>
        <v>3000000</v>
      </c>
      <c r="M16" s="132">
        <f>SB18a!M49</f>
        <v>11000000</v>
      </c>
      <c r="N16" s="127"/>
    </row>
    <row r="17" spans="1:14" ht="12.75" customHeight="1">
      <c r="A17" s="163" t="s">
        <v>835</v>
      </c>
      <c r="B17" s="73">
        <v>6</v>
      </c>
      <c r="C17" s="130">
        <f>SB18a!C53</f>
        <v>9124500</v>
      </c>
      <c r="D17" s="131">
        <f>SB18a!D53</f>
        <v>0</v>
      </c>
      <c r="E17" s="131">
        <f>SB18a!E53</f>
        <v>0</v>
      </c>
      <c r="F17" s="131">
        <f>SB18a!F53</f>
        <v>0</v>
      </c>
      <c r="G17" s="131">
        <f>SB18a!G53</f>
        <v>0</v>
      </c>
      <c r="H17" s="131">
        <f>SB18a!H53</f>
        <v>18350000</v>
      </c>
      <c r="I17" s="131">
        <f>SB18a!I53</f>
        <v>7056704</v>
      </c>
      <c r="J17" s="171">
        <f t="shared" si="1"/>
        <v>25406704</v>
      </c>
      <c r="K17" s="171">
        <f t="shared" si="2"/>
        <v>34531204</v>
      </c>
      <c r="L17" s="131">
        <f>SB18a!L53</f>
        <v>8132920</v>
      </c>
      <c r="M17" s="132">
        <f>SB18a!M53</f>
        <v>23371717</v>
      </c>
      <c r="N17" s="127"/>
    </row>
    <row r="18" spans="1:14" ht="12.75" customHeight="1">
      <c r="A18" s="163" t="s">
        <v>1353</v>
      </c>
      <c r="B18" s="73"/>
      <c r="C18" s="130">
        <f>SB18a!C67</f>
        <v>0</v>
      </c>
      <c r="D18" s="131">
        <f>SB18a!D67</f>
        <v>0</v>
      </c>
      <c r="E18" s="131">
        <f>SB18a!E67</f>
        <v>0</v>
      </c>
      <c r="F18" s="131">
        <f>SB18a!F67</f>
        <v>0</v>
      </c>
      <c r="G18" s="131">
        <f>SB18a!G67</f>
        <v>0</v>
      </c>
      <c r="H18" s="131">
        <f>SB18a!H67</f>
        <v>0</v>
      </c>
      <c r="I18" s="131">
        <f>SB18a!I67</f>
        <v>0</v>
      </c>
      <c r="J18" s="171">
        <f t="shared" si="1"/>
        <v>0</v>
      </c>
      <c r="K18" s="171">
        <f t="shared" si="2"/>
        <v>0</v>
      </c>
      <c r="L18" s="131">
        <f>SB18a!L67</f>
        <v>0</v>
      </c>
      <c r="M18" s="132">
        <f>SB18a!M67</f>
        <v>0</v>
      </c>
      <c r="N18" s="127"/>
    </row>
    <row r="19" spans="1:14" ht="12.75" customHeight="1">
      <c r="A19" s="163" t="s">
        <v>837</v>
      </c>
      <c r="B19" s="73"/>
      <c r="C19" s="130">
        <f>SB18a!C71</f>
        <v>0</v>
      </c>
      <c r="D19" s="131">
        <f>SB18a!D71</f>
        <v>0</v>
      </c>
      <c r="E19" s="131">
        <f>SB18a!E71</f>
        <v>0</v>
      </c>
      <c r="F19" s="131">
        <f>SB18a!F71</f>
        <v>0</v>
      </c>
      <c r="G19" s="131">
        <f>SB18a!G71</f>
        <v>0</v>
      </c>
      <c r="H19" s="131">
        <f>SB18a!H71</f>
        <v>0</v>
      </c>
      <c r="I19" s="131">
        <f>SB18a!I71</f>
        <v>0</v>
      </c>
      <c r="J19" s="171">
        <f>SUM(E19:I19)</f>
        <v>0</v>
      </c>
      <c r="K19" s="171">
        <f>IF(D19=0,C19+J19,D19+J19)</f>
        <v>0</v>
      </c>
      <c r="L19" s="131">
        <f>SB18a!L71</f>
        <v>0</v>
      </c>
      <c r="M19" s="132">
        <f>SB18a!M71</f>
        <v>0</v>
      </c>
      <c r="N19" s="127"/>
    </row>
    <row r="20" spans="1:14" ht="12.75" customHeight="1">
      <c r="A20" s="163" t="s">
        <v>836</v>
      </c>
      <c r="B20" s="73"/>
      <c r="C20" s="130">
        <f>SB18a!C75</f>
        <v>0</v>
      </c>
      <c r="D20" s="131">
        <f>SB18a!D75</f>
        <v>0</v>
      </c>
      <c r="E20" s="131">
        <f>SB18a!E75</f>
        <v>0</v>
      </c>
      <c r="F20" s="131">
        <f>SB18a!F75</f>
        <v>0</v>
      </c>
      <c r="G20" s="131">
        <f>SB18a!G75</f>
        <v>0</v>
      </c>
      <c r="H20" s="131">
        <f>SB18a!H75</f>
        <v>0</v>
      </c>
      <c r="I20" s="131">
        <f>SB18a!I75</f>
        <v>0</v>
      </c>
      <c r="J20" s="171">
        <f t="shared" si="1"/>
        <v>0</v>
      </c>
      <c r="K20" s="171">
        <f t="shared" si="2"/>
        <v>0</v>
      </c>
      <c r="L20" s="131">
        <f>SB18a!L75</f>
        <v>0</v>
      </c>
      <c r="M20" s="132">
        <f>SB18a!M75</f>
        <v>0</v>
      </c>
      <c r="N20" s="127"/>
    </row>
    <row r="21" spans="1:14" ht="3.75" customHeight="1">
      <c r="A21" s="163"/>
      <c r="B21" s="73"/>
      <c r="C21" s="172"/>
      <c r="D21" s="173"/>
      <c r="E21" s="173"/>
      <c r="F21" s="173"/>
      <c r="G21" s="173"/>
      <c r="H21" s="173"/>
      <c r="I21" s="173"/>
      <c r="J21" s="171"/>
      <c r="K21" s="171"/>
      <c r="L21" s="173"/>
      <c r="M21" s="174"/>
      <c r="N21" s="877"/>
    </row>
    <row r="22" spans="1:14" ht="12.75" customHeight="1">
      <c r="A22" s="233" t="s">
        <v>1281</v>
      </c>
      <c r="B22" s="114">
        <v>2</v>
      </c>
      <c r="C22" s="139">
        <f>SUM(C28:C35)</f>
        <v>13300000</v>
      </c>
      <c r="D22" s="140">
        <f t="shared" ref="D22:M22" si="4">SUM(D28:D35)</f>
        <v>0</v>
      </c>
      <c r="E22" s="140">
        <f t="shared" si="4"/>
        <v>0</v>
      </c>
      <c r="F22" s="140">
        <f t="shared" si="4"/>
        <v>0</v>
      </c>
      <c r="G22" s="140">
        <f t="shared" si="4"/>
        <v>0</v>
      </c>
      <c r="H22" s="140">
        <f t="shared" si="4"/>
        <v>0</v>
      </c>
      <c r="I22" s="140">
        <f t="shared" si="4"/>
        <v>-8276140</v>
      </c>
      <c r="J22" s="140">
        <f t="shared" si="4"/>
        <v>-8276140</v>
      </c>
      <c r="K22" s="140">
        <f t="shared" si="4"/>
        <v>5023860</v>
      </c>
      <c r="L22" s="140">
        <f t="shared" si="4"/>
        <v>13951700</v>
      </c>
      <c r="M22" s="141">
        <f t="shared" si="4"/>
        <v>14635334</v>
      </c>
      <c r="N22" s="127"/>
    </row>
    <row r="23" spans="1:14" ht="12.75" customHeight="1">
      <c r="A23" s="862" t="s">
        <v>826</v>
      </c>
      <c r="B23" s="114"/>
      <c r="C23" s="130">
        <f>SB18b!C9</f>
        <v>9500000</v>
      </c>
      <c r="D23" s="131">
        <f>SB18b!D9</f>
        <v>0</v>
      </c>
      <c r="E23" s="131">
        <f>SB18b!E9</f>
        <v>0</v>
      </c>
      <c r="F23" s="131">
        <f>SB18b!F9</f>
        <v>0</v>
      </c>
      <c r="G23" s="131">
        <f>SB18b!G9</f>
        <v>0</v>
      </c>
      <c r="H23" s="131">
        <f>SB18b!H9</f>
        <v>0</v>
      </c>
      <c r="I23" s="131">
        <f>SB18b!I9</f>
        <v>-7976140</v>
      </c>
      <c r="J23" s="171">
        <f t="shared" ref="J23:J35" si="5">SUM(E23:I23)</f>
        <v>-7976140</v>
      </c>
      <c r="K23" s="171">
        <f t="shared" ref="K23:K35" si="6">IF(D23=0,C23+J23,D23+J23)</f>
        <v>1523860</v>
      </c>
      <c r="L23" s="131">
        <f>SB18b!L9</f>
        <v>9965500</v>
      </c>
      <c r="M23" s="132">
        <f>SB18b!M9</f>
        <v>10453810</v>
      </c>
      <c r="N23" s="127"/>
    </row>
    <row r="24" spans="1:14" ht="12.75" customHeight="1">
      <c r="A24" s="862" t="s">
        <v>827</v>
      </c>
      <c r="B24" s="114"/>
      <c r="C24" s="130">
        <f>SB18b!C12</f>
        <v>3800000</v>
      </c>
      <c r="D24" s="131">
        <f>SB18b!D12</f>
        <v>0</v>
      </c>
      <c r="E24" s="131">
        <f>SB18b!E12</f>
        <v>0</v>
      </c>
      <c r="F24" s="131">
        <f>SB18b!F12</f>
        <v>0</v>
      </c>
      <c r="G24" s="131">
        <f>SB18b!G12</f>
        <v>0</v>
      </c>
      <c r="H24" s="131">
        <f>SB18b!H12</f>
        <v>0</v>
      </c>
      <c r="I24" s="131">
        <f>SB18b!I12</f>
        <v>-300000</v>
      </c>
      <c r="J24" s="171">
        <f t="shared" si="5"/>
        <v>-300000</v>
      </c>
      <c r="K24" s="171">
        <f t="shared" si="6"/>
        <v>3500000</v>
      </c>
      <c r="L24" s="131">
        <f>SB18b!L12</f>
        <v>3986200</v>
      </c>
      <c r="M24" s="132">
        <f>SB18b!M12</f>
        <v>4181524</v>
      </c>
      <c r="N24" s="127"/>
    </row>
    <row r="25" spans="1:14" ht="12.75" customHeight="1">
      <c r="A25" s="862" t="s">
        <v>828</v>
      </c>
      <c r="B25" s="114"/>
      <c r="C25" s="130">
        <f>SB18b!C16</f>
        <v>0</v>
      </c>
      <c r="D25" s="131">
        <f>SB18b!D16</f>
        <v>0</v>
      </c>
      <c r="E25" s="131">
        <f>SB18b!E16</f>
        <v>0</v>
      </c>
      <c r="F25" s="131">
        <f>SB18b!F16</f>
        <v>0</v>
      </c>
      <c r="G25" s="131">
        <f>SB18b!G16</f>
        <v>0</v>
      </c>
      <c r="H25" s="131">
        <f>SB18b!H16</f>
        <v>0</v>
      </c>
      <c r="I25" s="131">
        <f>SB18b!I16</f>
        <v>0</v>
      </c>
      <c r="J25" s="171">
        <f t="shared" si="5"/>
        <v>0</v>
      </c>
      <c r="K25" s="171">
        <f t="shared" si="6"/>
        <v>0</v>
      </c>
      <c r="L25" s="131">
        <f>SB18b!L16</f>
        <v>0</v>
      </c>
      <c r="M25" s="132">
        <f>SB18b!M16</f>
        <v>0</v>
      </c>
      <c r="N25" s="127"/>
    </row>
    <row r="26" spans="1:14" ht="12.75" customHeight="1">
      <c r="A26" s="862" t="s">
        <v>829</v>
      </c>
      <c r="B26" s="114"/>
      <c r="C26" s="130">
        <f>SB18b!C20</f>
        <v>0</v>
      </c>
      <c r="D26" s="131">
        <f>SB18b!D20</f>
        <v>0</v>
      </c>
      <c r="E26" s="131">
        <f>SB18b!E20</f>
        <v>0</v>
      </c>
      <c r="F26" s="131">
        <f>SB18b!F20</f>
        <v>0</v>
      </c>
      <c r="G26" s="131">
        <f>SB18b!G20</f>
        <v>0</v>
      </c>
      <c r="H26" s="131">
        <f>SB18b!H20</f>
        <v>0</v>
      </c>
      <c r="I26" s="131">
        <f>SB18b!I20</f>
        <v>0</v>
      </c>
      <c r="J26" s="171">
        <f t="shared" si="5"/>
        <v>0</v>
      </c>
      <c r="K26" s="171">
        <f t="shared" si="6"/>
        <v>0</v>
      </c>
      <c r="L26" s="131">
        <f>SB18b!L20</f>
        <v>0</v>
      </c>
      <c r="M26" s="132">
        <f>SB18b!M20</f>
        <v>0</v>
      </c>
      <c r="N26" s="127"/>
    </row>
    <row r="27" spans="1:14" ht="12.75" customHeight="1">
      <c r="A27" s="862" t="s">
        <v>830</v>
      </c>
      <c r="B27" s="114"/>
      <c r="C27" s="130">
        <f>SB18b!C23</f>
        <v>0</v>
      </c>
      <c r="D27" s="131">
        <f>SB18b!D23</f>
        <v>0</v>
      </c>
      <c r="E27" s="131">
        <f>SB18b!E23</f>
        <v>0</v>
      </c>
      <c r="F27" s="131">
        <f>SB18b!F23</f>
        <v>0</v>
      </c>
      <c r="G27" s="131">
        <f>SB18b!G23</f>
        <v>0</v>
      </c>
      <c r="H27" s="131">
        <f>SB18b!H23</f>
        <v>0</v>
      </c>
      <c r="I27" s="131">
        <f>SB18b!I23</f>
        <v>0</v>
      </c>
      <c r="J27" s="171">
        <f t="shared" si="5"/>
        <v>0</v>
      </c>
      <c r="K27" s="171">
        <f t="shared" si="6"/>
        <v>0</v>
      </c>
      <c r="L27" s="131">
        <f>SB18b!L23</f>
        <v>0</v>
      </c>
      <c r="M27" s="132">
        <f>SB18b!M23</f>
        <v>0</v>
      </c>
      <c r="N27" s="127"/>
    </row>
    <row r="28" spans="1:14" ht="12.75" customHeight="1">
      <c r="A28" s="163" t="s">
        <v>831</v>
      </c>
      <c r="B28" s="114"/>
      <c r="C28" s="726">
        <f t="shared" ref="C28:J28" si="7">SUM(C23:C27)</f>
        <v>13300000</v>
      </c>
      <c r="D28" s="265">
        <f t="shared" si="7"/>
        <v>0</v>
      </c>
      <c r="E28" s="265">
        <f t="shared" si="7"/>
        <v>0</v>
      </c>
      <c r="F28" s="265">
        <f t="shared" si="7"/>
        <v>0</v>
      </c>
      <c r="G28" s="265">
        <f t="shared" si="7"/>
        <v>0</v>
      </c>
      <c r="H28" s="265">
        <f t="shared" si="7"/>
        <v>0</v>
      </c>
      <c r="I28" s="265">
        <f t="shared" si="7"/>
        <v>-8276140</v>
      </c>
      <c r="J28" s="601">
        <f t="shared" si="7"/>
        <v>-8276140</v>
      </c>
      <c r="K28" s="601">
        <f t="shared" si="6"/>
        <v>5023860</v>
      </c>
      <c r="L28" s="265">
        <f>SUM(L23:L27)</f>
        <v>13951700</v>
      </c>
      <c r="M28" s="266">
        <f>SUM(M23:M27)</f>
        <v>14635334</v>
      </c>
      <c r="N28" s="127"/>
    </row>
    <row r="29" spans="1:14" ht="12.75" customHeight="1">
      <c r="A29" s="163" t="s">
        <v>832</v>
      </c>
      <c r="B29" s="114"/>
      <c r="C29" s="130">
        <f>SB18b!C29</f>
        <v>0</v>
      </c>
      <c r="D29" s="131">
        <f>SB18b!D29</f>
        <v>0</v>
      </c>
      <c r="E29" s="131">
        <f>SB18b!E29</f>
        <v>0</v>
      </c>
      <c r="F29" s="131">
        <f>SB18b!F29</f>
        <v>0</v>
      </c>
      <c r="G29" s="131">
        <f>SB18b!G29</f>
        <v>0</v>
      </c>
      <c r="H29" s="131">
        <f>SB18b!H29</f>
        <v>0</v>
      </c>
      <c r="I29" s="131">
        <f>SB18b!I29</f>
        <v>0</v>
      </c>
      <c r="J29" s="171">
        <f t="shared" si="5"/>
        <v>0</v>
      </c>
      <c r="K29" s="171">
        <f t="shared" si="6"/>
        <v>0</v>
      </c>
      <c r="L29" s="131">
        <f>SB18b!L29</f>
        <v>0</v>
      </c>
      <c r="M29" s="132">
        <f>SB18b!M29</f>
        <v>0</v>
      </c>
      <c r="N29" s="127"/>
    </row>
    <row r="30" spans="1:14" ht="12.75" customHeight="1">
      <c r="A30" s="163" t="s">
        <v>833</v>
      </c>
      <c r="B30" s="114"/>
      <c r="C30" s="130">
        <f>SB18b!C45</f>
        <v>0</v>
      </c>
      <c r="D30" s="131">
        <f>SB18b!D45</f>
        <v>0</v>
      </c>
      <c r="E30" s="131">
        <f>SB18b!E45</f>
        <v>0</v>
      </c>
      <c r="F30" s="131">
        <f>SB18b!F45</f>
        <v>0</v>
      </c>
      <c r="G30" s="131">
        <f>SB18b!G45</f>
        <v>0</v>
      </c>
      <c r="H30" s="131">
        <f>SB18b!H45</f>
        <v>0</v>
      </c>
      <c r="I30" s="131">
        <f>SB18b!I45</f>
        <v>0</v>
      </c>
      <c r="J30" s="171">
        <f t="shared" si="5"/>
        <v>0</v>
      </c>
      <c r="K30" s="171">
        <f t="shared" si="6"/>
        <v>0</v>
      </c>
      <c r="L30" s="131">
        <f>SB18b!L45</f>
        <v>0</v>
      </c>
      <c r="M30" s="132">
        <f>SB18b!M45</f>
        <v>0</v>
      </c>
      <c r="N30" s="127"/>
    </row>
    <row r="31" spans="1:14" ht="12.75" customHeight="1">
      <c r="A31" s="163" t="s">
        <v>834</v>
      </c>
      <c r="B31" s="114"/>
      <c r="C31" s="130">
        <f>SB18b!C49</f>
        <v>0</v>
      </c>
      <c r="D31" s="131">
        <f>SB18b!D49</f>
        <v>0</v>
      </c>
      <c r="E31" s="131">
        <f>SB18b!E49</f>
        <v>0</v>
      </c>
      <c r="F31" s="131">
        <f>SB18b!F49</f>
        <v>0</v>
      </c>
      <c r="G31" s="131">
        <f>SB18b!G49</f>
        <v>0</v>
      </c>
      <c r="H31" s="131">
        <f>SB18b!H49</f>
        <v>0</v>
      </c>
      <c r="I31" s="131">
        <f>SB18b!I49</f>
        <v>0</v>
      </c>
      <c r="J31" s="171">
        <f t="shared" si="5"/>
        <v>0</v>
      </c>
      <c r="K31" s="171">
        <f t="shared" si="6"/>
        <v>0</v>
      </c>
      <c r="L31" s="131">
        <f>SB18b!L49</f>
        <v>0</v>
      </c>
      <c r="M31" s="132">
        <f>SB18b!M49</f>
        <v>0</v>
      </c>
      <c r="N31" s="127"/>
    </row>
    <row r="32" spans="1:14" ht="12.75" customHeight="1">
      <c r="A32" s="163" t="s">
        <v>835</v>
      </c>
      <c r="B32" s="114">
        <v>6</v>
      </c>
      <c r="C32" s="130">
        <f>SB18b!C53</f>
        <v>0</v>
      </c>
      <c r="D32" s="131">
        <f>SB18b!D53</f>
        <v>0</v>
      </c>
      <c r="E32" s="131">
        <f>SB18b!E53</f>
        <v>0</v>
      </c>
      <c r="F32" s="131">
        <f>SB18b!F53</f>
        <v>0</v>
      </c>
      <c r="G32" s="131">
        <f>SB18b!G53</f>
        <v>0</v>
      </c>
      <c r="H32" s="131">
        <f>SB18b!H53</f>
        <v>0</v>
      </c>
      <c r="I32" s="131">
        <f>SB18b!I53</f>
        <v>0</v>
      </c>
      <c r="J32" s="171">
        <f t="shared" si="5"/>
        <v>0</v>
      </c>
      <c r="K32" s="171">
        <f t="shared" si="6"/>
        <v>0</v>
      </c>
      <c r="L32" s="131">
        <f>SB18b!L53</f>
        <v>0</v>
      </c>
      <c r="M32" s="132">
        <f>SB18b!M53</f>
        <v>0</v>
      </c>
      <c r="N32" s="127"/>
    </row>
    <row r="33" spans="1:14" ht="12.75" customHeight="1">
      <c r="A33" s="163" t="s">
        <v>1353</v>
      </c>
      <c r="B33" s="114"/>
      <c r="C33" s="130">
        <f>SB18b!C67</f>
        <v>0</v>
      </c>
      <c r="D33" s="131">
        <f>SB18b!D67</f>
        <v>0</v>
      </c>
      <c r="E33" s="131">
        <f>SB18b!E67</f>
        <v>0</v>
      </c>
      <c r="F33" s="131">
        <f>SB18b!F67</f>
        <v>0</v>
      </c>
      <c r="G33" s="131">
        <f>SB18b!G67</f>
        <v>0</v>
      </c>
      <c r="H33" s="131">
        <f>SB18b!H67</f>
        <v>0</v>
      </c>
      <c r="I33" s="131">
        <f>SB18b!I67</f>
        <v>0</v>
      </c>
      <c r="J33" s="171">
        <f t="shared" si="5"/>
        <v>0</v>
      </c>
      <c r="K33" s="171">
        <f t="shared" si="6"/>
        <v>0</v>
      </c>
      <c r="L33" s="131">
        <f>SB18b!L67</f>
        <v>0</v>
      </c>
      <c r="M33" s="132">
        <f>SB18b!M67</f>
        <v>0</v>
      </c>
      <c r="N33" s="127"/>
    </row>
    <row r="34" spans="1:14" ht="12.75" customHeight="1">
      <c r="A34" s="163" t="s">
        <v>837</v>
      </c>
      <c r="B34" s="114"/>
      <c r="C34" s="130">
        <f>SB18b!C71</f>
        <v>0</v>
      </c>
      <c r="D34" s="131">
        <f>SB18b!D71</f>
        <v>0</v>
      </c>
      <c r="E34" s="131">
        <f>SB18b!E71</f>
        <v>0</v>
      </c>
      <c r="F34" s="131">
        <f>SB18b!F71</f>
        <v>0</v>
      </c>
      <c r="G34" s="131">
        <f>SB18b!G71</f>
        <v>0</v>
      </c>
      <c r="H34" s="131">
        <f>SB18b!H71</f>
        <v>0</v>
      </c>
      <c r="I34" s="131">
        <f>SB18b!I71</f>
        <v>0</v>
      </c>
      <c r="J34" s="171"/>
      <c r="K34" s="171"/>
      <c r="L34" s="131">
        <f>SB18b!L71</f>
        <v>0</v>
      </c>
      <c r="M34" s="132">
        <f>SB18b!M71</f>
        <v>0</v>
      </c>
      <c r="N34" s="127"/>
    </row>
    <row r="35" spans="1:14" ht="12.75" customHeight="1">
      <c r="A35" s="163" t="s">
        <v>836</v>
      </c>
      <c r="B35" s="114"/>
      <c r="C35" s="130">
        <f>SB18b!C75</f>
        <v>0</v>
      </c>
      <c r="D35" s="131">
        <f>SB18b!D75</f>
        <v>0</v>
      </c>
      <c r="E35" s="131">
        <f>SB18b!E75</f>
        <v>0</v>
      </c>
      <c r="F35" s="131">
        <f>SB18b!F75</f>
        <v>0</v>
      </c>
      <c r="G35" s="131">
        <f>SB18b!G75</f>
        <v>0</v>
      </c>
      <c r="H35" s="131">
        <f>SB18b!H75</f>
        <v>0</v>
      </c>
      <c r="I35" s="131">
        <f>SB18b!I75</f>
        <v>0</v>
      </c>
      <c r="J35" s="171">
        <f t="shared" si="5"/>
        <v>0</v>
      </c>
      <c r="K35" s="171">
        <f t="shared" si="6"/>
        <v>0</v>
      </c>
      <c r="L35" s="131">
        <f>SB18b!L75</f>
        <v>0</v>
      </c>
      <c r="M35" s="132">
        <f>SB18b!M75</f>
        <v>0</v>
      </c>
      <c r="N35" s="127"/>
    </row>
    <row r="36" spans="1:14" ht="4.5" customHeight="1">
      <c r="B36" s="114"/>
      <c r="C36" s="172"/>
      <c r="D36" s="173"/>
      <c r="E36" s="173"/>
      <c r="F36" s="173"/>
      <c r="G36" s="173"/>
      <c r="H36" s="173"/>
      <c r="I36" s="173"/>
      <c r="J36" s="171"/>
      <c r="K36" s="171"/>
      <c r="L36" s="173"/>
      <c r="M36" s="174"/>
      <c r="N36" s="127"/>
    </row>
    <row r="37" spans="1:14" ht="12.75" customHeight="1">
      <c r="A37" s="233" t="s">
        <v>1282</v>
      </c>
      <c r="B37" s="73">
        <v>4</v>
      </c>
      <c r="C37" s="74"/>
      <c r="D37" s="75"/>
      <c r="E37" s="75"/>
      <c r="F37" s="75"/>
      <c r="G37" s="75"/>
      <c r="H37" s="75"/>
      <c r="I37" s="75"/>
      <c r="J37" s="75"/>
      <c r="K37" s="75"/>
      <c r="L37" s="75"/>
      <c r="M37" s="76"/>
      <c r="N37" s="127"/>
    </row>
    <row r="38" spans="1:14" ht="12.75" customHeight="1">
      <c r="A38" s="862" t="s">
        <v>826</v>
      </c>
      <c r="B38" s="73"/>
      <c r="C38" s="74">
        <f t="shared" ref="C38:I49" si="8">C8+C23</f>
        <v>102903347</v>
      </c>
      <c r="D38" s="75">
        <f t="shared" si="8"/>
        <v>0</v>
      </c>
      <c r="E38" s="75">
        <f t="shared" si="8"/>
        <v>0</v>
      </c>
      <c r="F38" s="75">
        <f t="shared" si="8"/>
        <v>0</v>
      </c>
      <c r="G38" s="75">
        <f t="shared" si="8"/>
        <v>0</v>
      </c>
      <c r="H38" s="75">
        <f t="shared" si="8"/>
        <v>0</v>
      </c>
      <c r="I38" s="75">
        <f t="shared" si="8"/>
        <v>30495910</v>
      </c>
      <c r="J38" s="75">
        <f t="shared" ref="J38:J50" si="9">SUM(E38:I38)</f>
        <v>30495910</v>
      </c>
      <c r="K38" s="75">
        <f t="shared" ref="K38:K50" si="10">IF(D38=0,C38+J38,D38+J38)</f>
        <v>133399257</v>
      </c>
      <c r="L38" s="75">
        <f t="shared" ref="L38:M50" si="11">L8+L23</f>
        <v>106443556</v>
      </c>
      <c r="M38" s="76">
        <f t="shared" si="11"/>
        <v>105125618</v>
      </c>
      <c r="N38" s="127"/>
    </row>
    <row r="39" spans="1:14" ht="12.75" customHeight="1">
      <c r="A39" s="862" t="s">
        <v>827</v>
      </c>
      <c r="B39" s="73"/>
      <c r="C39" s="74">
        <f t="shared" si="8"/>
        <v>38460000</v>
      </c>
      <c r="D39" s="75">
        <f t="shared" si="8"/>
        <v>0</v>
      </c>
      <c r="E39" s="75">
        <f t="shared" si="8"/>
        <v>0</v>
      </c>
      <c r="F39" s="75">
        <f t="shared" si="8"/>
        <v>0</v>
      </c>
      <c r="G39" s="75">
        <f t="shared" si="8"/>
        <v>0</v>
      </c>
      <c r="H39" s="75">
        <f t="shared" si="8"/>
        <v>2000000</v>
      </c>
      <c r="I39" s="75">
        <f t="shared" si="8"/>
        <v>-9800000</v>
      </c>
      <c r="J39" s="75">
        <f t="shared" si="9"/>
        <v>-7800000</v>
      </c>
      <c r="K39" s="75">
        <f t="shared" si="10"/>
        <v>30660000</v>
      </c>
      <c r="L39" s="75">
        <f t="shared" si="11"/>
        <v>41236200</v>
      </c>
      <c r="M39" s="76">
        <f t="shared" si="11"/>
        <v>56937913</v>
      </c>
      <c r="N39" s="127"/>
    </row>
    <row r="40" spans="1:14" ht="12.75" customHeight="1">
      <c r="A40" s="862" t="s">
        <v>828</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7"/>
    </row>
    <row r="41" spans="1:14" ht="12.75" customHeight="1">
      <c r="A41" s="862" t="s">
        <v>829</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7"/>
    </row>
    <row r="42" spans="1:14" ht="12.75" customHeight="1">
      <c r="A42" s="862" t="s">
        <v>830</v>
      </c>
      <c r="B42" s="73"/>
      <c r="C42" s="74">
        <f t="shared" si="8"/>
        <v>100000</v>
      </c>
      <c r="D42" s="75">
        <f t="shared" si="8"/>
        <v>0</v>
      </c>
      <c r="E42" s="75">
        <f t="shared" si="8"/>
        <v>0</v>
      </c>
      <c r="F42" s="75">
        <f t="shared" si="8"/>
        <v>0</v>
      </c>
      <c r="G42" s="75">
        <f t="shared" si="8"/>
        <v>0</v>
      </c>
      <c r="H42" s="75">
        <f t="shared" si="8"/>
        <v>0</v>
      </c>
      <c r="I42" s="75">
        <f t="shared" si="8"/>
        <v>0</v>
      </c>
      <c r="J42" s="75">
        <f t="shared" si="9"/>
        <v>0</v>
      </c>
      <c r="K42" s="75">
        <f t="shared" si="10"/>
        <v>100000</v>
      </c>
      <c r="L42" s="75">
        <f t="shared" si="11"/>
        <v>3700000</v>
      </c>
      <c r="M42" s="76">
        <f t="shared" si="11"/>
        <v>3175000</v>
      </c>
      <c r="N42" s="127"/>
    </row>
    <row r="43" spans="1:14" ht="12.75" customHeight="1">
      <c r="A43" s="163" t="s">
        <v>831</v>
      </c>
      <c r="B43" s="73"/>
      <c r="C43" s="726">
        <f t="shared" ref="C43:J43" si="12">SUM(C38:C42)</f>
        <v>141463347</v>
      </c>
      <c r="D43" s="265">
        <f t="shared" si="12"/>
        <v>0</v>
      </c>
      <c r="E43" s="265">
        <f t="shared" si="12"/>
        <v>0</v>
      </c>
      <c r="F43" s="265">
        <f t="shared" si="12"/>
        <v>0</v>
      </c>
      <c r="G43" s="265">
        <f t="shared" si="12"/>
        <v>0</v>
      </c>
      <c r="H43" s="265">
        <f t="shared" si="12"/>
        <v>2000000</v>
      </c>
      <c r="I43" s="265">
        <f t="shared" si="12"/>
        <v>20695910</v>
      </c>
      <c r="J43" s="601">
        <f t="shared" si="12"/>
        <v>22695910</v>
      </c>
      <c r="K43" s="601">
        <f t="shared" si="10"/>
        <v>164159257</v>
      </c>
      <c r="L43" s="265">
        <f>SUM(L38:L42)</f>
        <v>151379756</v>
      </c>
      <c r="M43" s="266">
        <f>SUM(M38:M42)</f>
        <v>165238531</v>
      </c>
      <c r="N43" s="127"/>
    </row>
    <row r="44" spans="1:14" ht="12.75" customHeight="1">
      <c r="A44" s="163" t="s">
        <v>832</v>
      </c>
      <c r="B44" s="73"/>
      <c r="C44" s="74">
        <f t="shared" si="8"/>
        <v>14042000</v>
      </c>
      <c r="D44" s="75">
        <f t="shared" si="8"/>
        <v>0</v>
      </c>
      <c r="E44" s="75">
        <f t="shared" si="8"/>
        <v>0</v>
      </c>
      <c r="F44" s="75">
        <f t="shared" si="8"/>
        <v>0</v>
      </c>
      <c r="G44" s="75">
        <f t="shared" si="8"/>
        <v>0</v>
      </c>
      <c r="H44" s="75">
        <f t="shared" si="8"/>
        <v>0</v>
      </c>
      <c r="I44" s="75">
        <f t="shared" si="8"/>
        <v>4750000</v>
      </c>
      <c r="J44" s="75">
        <f t="shared" si="9"/>
        <v>4750000</v>
      </c>
      <c r="K44" s="75">
        <f t="shared" si="10"/>
        <v>18792000</v>
      </c>
      <c r="L44" s="75">
        <f t="shared" si="11"/>
        <v>4500000</v>
      </c>
      <c r="M44" s="76">
        <f t="shared" si="11"/>
        <v>16642600</v>
      </c>
      <c r="N44" s="127"/>
    </row>
    <row r="45" spans="1:14" ht="12.75" customHeight="1">
      <c r="A45" s="163" t="s">
        <v>833</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7"/>
    </row>
    <row r="46" spans="1:14" ht="12.75" customHeight="1">
      <c r="A46" s="163" t="s">
        <v>834</v>
      </c>
      <c r="B46" s="73"/>
      <c r="C46" s="74">
        <f t="shared" si="8"/>
        <v>1000000</v>
      </c>
      <c r="D46" s="75">
        <f t="shared" si="8"/>
        <v>0</v>
      </c>
      <c r="E46" s="75">
        <f t="shared" si="8"/>
        <v>0</v>
      </c>
      <c r="F46" s="75">
        <f t="shared" si="8"/>
        <v>0</v>
      </c>
      <c r="G46" s="75">
        <f t="shared" si="8"/>
        <v>0</v>
      </c>
      <c r="H46" s="75">
        <f t="shared" si="8"/>
        <v>0</v>
      </c>
      <c r="I46" s="75">
        <f t="shared" si="8"/>
        <v>-1000000</v>
      </c>
      <c r="J46" s="75">
        <f t="shared" si="9"/>
        <v>-1000000</v>
      </c>
      <c r="K46" s="75">
        <f t="shared" si="10"/>
        <v>0</v>
      </c>
      <c r="L46" s="75">
        <f t="shared" si="11"/>
        <v>3000000</v>
      </c>
      <c r="M46" s="76">
        <f t="shared" si="11"/>
        <v>11000000</v>
      </c>
      <c r="N46" s="127"/>
    </row>
    <row r="47" spans="1:14" ht="12.75" customHeight="1">
      <c r="A47" s="163" t="s">
        <v>835</v>
      </c>
      <c r="B47" s="73"/>
      <c r="C47" s="74">
        <f t="shared" si="8"/>
        <v>9124500</v>
      </c>
      <c r="D47" s="75">
        <f t="shared" si="8"/>
        <v>0</v>
      </c>
      <c r="E47" s="75">
        <f t="shared" si="8"/>
        <v>0</v>
      </c>
      <c r="F47" s="75">
        <f t="shared" si="8"/>
        <v>0</v>
      </c>
      <c r="G47" s="75">
        <f t="shared" si="8"/>
        <v>0</v>
      </c>
      <c r="H47" s="75">
        <f t="shared" si="8"/>
        <v>18350000</v>
      </c>
      <c r="I47" s="75">
        <f t="shared" si="8"/>
        <v>7056704</v>
      </c>
      <c r="J47" s="75">
        <f t="shared" si="9"/>
        <v>25406704</v>
      </c>
      <c r="K47" s="75">
        <f t="shared" si="10"/>
        <v>34531204</v>
      </c>
      <c r="L47" s="75">
        <f t="shared" si="11"/>
        <v>8132920</v>
      </c>
      <c r="M47" s="76">
        <f t="shared" si="11"/>
        <v>23371717</v>
      </c>
      <c r="N47" s="127"/>
    </row>
    <row r="48" spans="1:14" ht="12.75" customHeight="1">
      <c r="A48" s="163" t="s">
        <v>1353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7"/>
    </row>
    <row r="49" spans="1:14" ht="12.75" customHeight="1">
      <c r="A49" s="163" t="s">
        <v>837</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7"/>
    </row>
    <row r="50" spans="1:14" ht="12.75" customHeight="1">
      <c r="A50" s="163" t="s">
        <v>836</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7"/>
    </row>
    <row r="51" spans="1:14" ht="12.75" customHeight="1">
      <c r="A51" s="162" t="s">
        <v>1283</v>
      </c>
      <c r="B51" s="79">
        <v>2</v>
      </c>
      <c r="C51" s="80">
        <f t="shared" ref="C51:M51" si="14">SUM(C43:C50)</f>
        <v>165629847</v>
      </c>
      <c r="D51" s="81">
        <f t="shared" si="14"/>
        <v>0</v>
      </c>
      <c r="E51" s="81">
        <f t="shared" si="14"/>
        <v>0</v>
      </c>
      <c r="F51" s="81">
        <f t="shared" si="14"/>
        <v>0</v>
      </c>
      <c r="G51" s="81">
        <f t="shared" si="14"/>
        <v>0</v>
      </c>
      <c r="H51" s="81">
        <f t="shared" si="14"/>
        <v>20350000</v>
      </c>
      <c r="I51" s="81">
        <f t="shared" si="14"/>
        <v>31502614</v>
      </c>
      <c r="J51" s="81">
        <f t="shared" si="14"/>
        <v>51852614</v>
      </c>
      <c r="K51" s="81">
        <f t="shared" si="14"/>
        <v>217482461</v>
      </c>
      <c r="L51" s="81">
        <f t="shared" si="14"/>
        <v>167012676</v>
      </c>
      <c r="M51" s="82">
        <f t="shared" si="14"/>
        <v>216252848</v>
      </c>
      <c r="N51" s="127"/>
    </row>
    <row r="52" spans="1:14" ht="5.0999999999999996" customHeight="1">
      <c r="A52" s="135"/>
      <c r="B52" s="73"/>
      <c r="C52" s="74"/>
      <c r="D52" s="75"/>
      <c r="E52" s="75"/>
      <c r="F52" s="75"/>
      <c r="G52" s="75"/>
      <c r="H52" s="75"/>
      <c r="I52" s="75"/>
      <c r="J52" s="75"/>
      <c r="K52" s="75"/>
      <c r="L52" s="75"/>
      <c r="M52" s="76"/>
      <c r="N52" s="127"/>
    </row>
    <row r="53" spans="1:14" ht="12.75" customHeight="1">
      <c r="A53" s="138" t="s">
        <v>838</v>
      </c>
      <c r="B53" s="73">
        <v>5</v>
      </c>
      <c r="C53" s="172"/>
      <c r="D53" s="173"/>
      <c r="E53" s="173"/>
      <c r="F53" s="173"/>
      <c r="G53" s="173"/>
      <c r="H53" s="173"/>
      <c r="I53" s="173"/>
      <c r="J53" s="75"/>
      <c r="K53" s="75"/>
      <c r="L53" s="173"/>
      <c r="M53" s="174"/>
      <c r="N53" s="127"/>
    </row>
    <row r="54" spans="1:14" ht="12.75" customHeight="1">
      <c r="A54" s="862" t="s">
        <v>826</v>
      </c>
      <c r="B54" s="73"/>
      <c r="C54" s="129">
        <v>725530166</v>
      </c>
      <c r="D54" s="109"/>
      <c r="E54" s="109"/>
      <c r="F54" s="109"/>
      <c r="G54" s="109"/>
      <c r="H54" s="109"/>
      <c r="I54" s="109">
        <v>30495910</v>
      </c>
      <c r="J54" s="75">
        <f t="shared" ref="J54:J66" si="15">SUM(E54:I54)</f>
        <v>30495910</v>
      </c>
      <c r="K54" s="75">
        <f t="shared" ref="K54:K66" si="16">IF(D54=0,C54+J54,D54+J54)</f>
        <v>756026076</v>
      </c>
      <c r="L54" s="109">
        <v>832973722</v>
      </c>
      <c r="M54" s="109">
        <v>938569340</v>
      </c>
      <c r="N54" s="127"/>
    </row>
    <row r="55" spans="1:14" ht="12.75" customHeight="1">
      <c r="A55" s="862" t="s">
        <v>827</v>
      </c>
      <c r="B55" s="73"/>
      <c r="C55" s="129">
        <v>667822000</v>
      </c>
      <c r="D55" s="109"/>
      <c r="E55" s="109"/>
      <c r="F55" s="109"/>
      <c r="G55" s="109"/>
      <c r="H55" s="109">
        <v>2000000</v>
      </c>
      <c r="I55" s="109">
        <v>-9800000</v>
      </c>
      <c r="J55" s="75">
        <f t="shared" si="15"/>
        <v>-7800000</v>
      </c>
      <c r="K55" s="75">
        <f t="shared" si="16"/>
        <v>660022000</v>
      </c>
      <c r="L55" s="109">
        <v>706828200</v>
      </c>
      <c r="M55" s="109">
        <v>756546113</v>
      </c>
      <c r="N55" s="127"/>
    </row>
    <row r="56" spans="1:14" ht="12.75" customHeight="1">
      <c r="A56" s="862" t="s">
        <v>828</v>
      </c>
      <c r="B56" s="136"/>
      <c r="C56" s="129"/>
      <c r="D56" s="109"/>
      <c r="E56" s="109"/>
      <c r="F56" s="109"/>
      <c r="G56" s="109"/>
      <c r="H56" s="109"/>
      <c r="I56" s="109">
        <v>0</v>
      </c>
      <c r="J56" s="75">
        <f t="shared" si="15"/>
        <v>0</v>
      </c>
      <c r="K56" s="75">
        <f t="shared" si="16"/>
        <v>0</v>
      </c>
      <c r="L56" s="109"/>
      <c r="M56" s="109"/>
      <c r="N56" s="127"/>
    </row>
    <row r="57" spans="1:14" ht="12.75" customHeight="1">
      <c r="A57" s="862" t="s">
        <v>829</v>
      </c>
      <c r="B57" s="73"/>
      <c r="C57" s="129"/>
      <c r="D57" s="109"/>
      <c r="E57" s="109"/>
      <c r="F57" s="109"/>
      <c r="G57" s="109"/>
      <c r="H57" s="109"/>
      <c r="I57" s="109"/>
      <c r="J57" s="75">
        <f t="shared" si="15"/>
        <v>0</v>
      </c>
      <c r="K57" s="75">
        <f t="shared" si="16"/>
        <v>0</v>
      </c>
      <c r="L57" s="109"/>
      <c r="M57" s="109"/>
      <c r="N57" s="127"/>
    </row>
    <row r="58" spans="1:14" ht="12.75" customHeight="1">
      <c r="A58" s="862" t="s">
        <v>830</v>
      </c>
      <c r="B58" s="73"/>
      <c r="C58" s="129">
        <v>65889432</v>
      </c>
      <c r="D58" s="109"/>
      <c r="E58" s="109"/>
      <c r="F58" s="109"/>
      <c r="G58" s="109"/>
      <c r="H58" s="109"/>
      <c r="I58" s="109"/>
      <c r="J58" s="75">
        <f t="shared" si="15"/>
        <v>0</v>
      </c>
      <c r="K58" s="75">
        <f t="shared" si="16"/>
        <v>65889432</v>
      </c>
      <c r="L58" s="109">
        <v>73089432</v>
      </c>
      <c r="M58" s="109">
        <v>80294432</v>
      </c>
      <c r="N58" s="127"/>
    </row>
    <row r="59" spans="1:14" ht="12.75" customHeight="1">
      <c r="A59" s="128" t="s">
        <v>831</v>
      </c>
      <c r="B59" s="73"/>
      <c r="C59" s="726">
        <f t="shared" ref="C59:J59" si="17">SUM(C54:C58)</f>
        <v>1459241598</v>
      </c>
      <c r="D59" s="265">
        <f t="shared" si="17"/>
        <v>0</v>
      </c>
      <c r="E59" s="265">
        <f t="shared" si="17"/>
        <v>0</v>
      </c>
      <c r="F59" s="265">
        <f t="shared" si="17"/>
        <v>0</v>
      </c>
      <c r="G59" s="265">
        <f t="shared" si="17"/>
        <v>0</v>
      </c>
      <c r="H59" s="265">
        <f t="shared" si="17"/>
        <v>2000000</v>
      </c>
      <c r="I59" s="265">
        <f t="shared" si="17"/>
        <v>20695910</v>
      </c>
      <c r="J59" s="601">
        <f t="shared" si="17"/>
        <v>22695910</v>
      </c>
      <c r="K59" s="601">
        <f t="shared" si="16"/>
        <v>1481937508</v>
      </c>
      <c r="L59" s="265">
        <f>SUM(L54:L58)</f>
        <v>1612891354</v>
      </c>
      <c r="M59" s="266">
        <f>SUM(M54:M58)</f>
        <v>1775409885</v>
      </c>
      <c r="N59" s="127"/>
    </row>
    <row r="60" spans="1:14" ht="12.75" customHeight="1">
      <c r="A60" s="128" t="s">
        <v>832</v>
      </c>
      <c r="B60" s="73"/>
      <c r="C60" s="129">
        <v>94663000</v>
      </c>
      <c r="D60" s="109"/>
      <c r="E60" s="109"/>
      <c r="F60" s="109"/>
      <c r="G60" s="109"/>
      <c r="H60" s="109"/>
      <c r="I60" s="109">
        <v>4750000</v>
      </c>
      <c r="J60" s="75">
        <f t="shared" si="15"/>
        <v>4750000</v>
      </c>
      <c r="K60" s="75">
        <f t="shared" si="16"/>
        <v>99413000</v>
      </c>
      <c r="L60" s="109">
        <v>99163000</v>
      </c>
      <c r="M60" s="109">
        <v>115305600</v>
      </c>
      <c r="N60" s="127"/>
    </row>
    <row r="61" spans="1:14" ht="12.75" customHeight="1">
      <c r="A61" s="128" t="s">
        <v>833</v>
      </c>
      <c r="B61" s="73"/>
      <c r="C61" s="129"/>
      <c r="D61" s="109"/>
      <c r="E61" s="109"/>
      <c r="F61" s="109"/>
      <c r="G61" s="109"/>
      <c r="H61" s="109"/>
      <c r="I61" s="109">
        <v>0</v>
      </c>
      <c r="J61" s="75">
        <f t="shared" si="15"/>
        <v>0</v>
      </c>
      <c r="K61" s="75">
        <f t="shared" si="16"/>
        <v>0</v>
      </c>
      <c r="L61" s="109"/>
      <c r="M61" s="109"/>
      <c r="N61" s="127"/>
    </row>
    <row r="62" spans="1:14" ht="12.75" customHeight="1">
      <c r="A62" s="128" t="s">
        <v>834</v>
      </c>
      <c r="B62" s="73"/>
      <c r="C62" s="129"/>
      <c r="D62" s="109"/>
      <c r="E62" s="109"/>
      <c r="F62" s="109"/>
      <c r="G62" s="109"/>
      <c r="H62" s="109"/>
      <c r="I62" s="109">
        <v>-1000000</v>
      </c>
      <c r="J62" s="75">
        <f t="shared" si="15"/>
        <v>-1000000</v>
      </c>
      <c r="K62" s="75">
        <f t="shared" si="16"/>
        <v>-1000000</v>
      </c>
      <c r="L62" s="109"/>
      <c r="M62" s="109"/>
      <c r="N62" s="127"/>
    </row>
    <row r="63" spans="1:14" ht="12.75" customHeight="1">
      <c r="A63" s="128" t="s">
        <v>835</v>
      </c>
      <c r="B63" s="73"/>
      <c r="C63" s="129">
        <v>228150211</v>
      </c>
      <c r="D63" s="109"/>
      <c r="E63" s="109"/>
      <c r="F63" s="109"/>
      <c r="G63" s="109"/>
      <c r="H63" s="109">
        <v>18350000</v>
      </c>
      <c r="I63" s="109">
        <v>7056704</v>
      </c>
      <c r="J63" s="75">
        <f t="shared" si="15"/>
        <v>25406704</v>
      </c>
      <c r="K63" s="75">
        <f t="shared" si="16"/>
        <v>253556915</v>
      </c>
      <c r="L63" s="109">
        <v>241488131</v>
      </c>
      <c r="M63" s="109">
        <v>283552347</v>
      </c>
      <c r="N63" s="127"/>
    </row>
    <row r="64" spans="1:14" ht="12.75" customHeight="1">
      <c r="A64" s="128" t="s">
        <v>836</v>
      </c>
      <c r="B64" s="73"/>
      <c r="C64" s="129">
        <v>49645</v>
      </c>
      <c r="D64" s="109"/>
      <c r="E64" s="109"/>
      <c r="F64" s="109"/>
      <c r="G64" s="109"/>
      <c r="H64" s="109"/>
      <c r="I64" s="109"/>
      <c r="J64" s="75">
        <f t="shared" si="15"/>
        <v>0</v>
      </c>
      <c r="K64" s="75">
        <f t="shared" si="16"/>
        <v>49645</v>
      </c>
      <c r="L64" s="109">
        <v>49645</v>
      </c>
      <c r="M64" s="110">
        <v>49645</v>
      </c>
      <c r="N64" s="127"/>
    </row>
    <row r="65" spans="1:14" ht="12.75" customHeight="1">
      <c r="A65" s="128" t="s">
        <v>1353</v>
      </c>
      <c r="B65" s="73"/>
      <c r="C65" s="129"/>
      <c r="D65" s="109"/>
      <c r="E65" s="109"/>
      <c r="F65" s="109"/>
      <c r="G65" s="109"/>
      <c r="H65" s="109"/>
      <c r="I65" s="109"/>
      <c r="J65" s="75"/>
      <c r="K65" s="75"/>
      <c r="L65" s="109"/>
      <c r="M65" s="110"/>
      <c r="N65" s="127"/>
    </row>
    <row r="66" spans="1:14" ht="12.75" customHeight="1">
      <c r="A66" s="128" t="s">
        <v>837</v>
      </c>
      <c r="B66" s="73"/>
      <c r="C66" s="129"/>
      <c r="D66" s="109"/>
      <c r="E66" s="109"/>
      <c r="F66" s="109"/>
      <c r="G66" s="109"/>
      <c r="H66" s="109"/>
      <c r="I66" s="109"/>
      <c r="J66" s="75">
        <f t="shared" si="15"/>
        <v>0</v>
      </c>
      <c r="K66" s="75">
        <f t="shared" si="16"/>
        <v>0</v>
      </c>
      <c r="L66" s="109"/>
      <c r="M66" s="110"/>
      <c r="N66" s="127"/>
    </row>
    <row r="67" spans="1:14" ht="12.75" customHeight="1">
      <c r="A67" s="162" t="s">
        <v>1284</v>
      </c>
      <c r="B67" s="79">
        <v>5</v>
      </c>
      <c r="C67" s="80">
        <f t="shared" ref="C67:M67" si="18">SUM(C59:C66)</f>
        <v>1782104454</v>
      </c>
      <c r="D67" s="81">
        <f t="shared" si="18"/>
        <v>0</v>
      </c>
      <c r="E67" s="81">
        <f t="shared" si="18"/>
        <v>0</v>
      </c>
      <c r="F67" s="81">
        <f t="shared" si="18"/>
        <v>0</v>
      </c>
      <c r="G67" s="81">
        <f t="shared" si="18"/>
        <v>0</v>
      </c>
      <c r="H67" s="81">
        <f t="shared" si="18"/>
        <v>20350000</v>
      </c>
      <c r="I67" s="81">
        <f t="shared" si="18"/>
        <v>31502614</v>
      </c>
      <c r="J67" s="81">
        <f t="shared" si="18"/>
        <v>51852614</v>
      </c>
      <c r="K67" s="81">
        <f t="shared" si="18"/>
        <v>1833957068</v>
      </c>
      <c r="L67" s="81">
        <f t="shared" si="18"/>
        <v>1953592130</v>
      </c>
      <c r="M67" s="82">
        <f t="shared" si="18"/>
        <v>2174317477</v>
      </c>
      <c r="N67" s="127"/>
    </row>
    <row r="68" spans="1:14" ht="5.0999999999999996" customHeight="1">
      <c r="A68" s="135"/>
      <c r="B68" s="73"/>
      <c r="C68" s="74"/>
      <c r="D68" s="75"/>
      <c r="E68" s="75"/>
      <c r="F68" s="75"/>
      <c r="G68" s="75"/>
      <c r="H68" s="75"/>
      <c r="I68" s="75"/>
      <c r="J68" s="75"/>
      <c r="K68" s="75"/>
      <c r="L68" s="75"/>
      <c r="M68" s="76"/>
      <c r="N68" s="127"/>
    </row>
    <row r="69" spans="1:14" ht="12.75" customHeight="1">
      <c r="A69" s="863" t="s">
        <v>839</v>
      </c>
      <c r="B69" s="73"/>
      <c r="C69" s="74"/>
      <c r="D69" s="75"/>
      <c r="E69" s="75"/>
      <c r="F69" s="75"/>
      <c r="G69" s="75"/>
      <c r="H69" s="75"/>
      <c r="I69" s="75"/>
      <c r="J69" s="75"/>
      <c r="K69" s="75"/>
      <c r="L69" s="75"/>
      <c r="M69" s="76"/>
      <c r="N69" s="127"/>
    </row>
    <row r="70" spans="1:14" ht="12.75" customHeight="1">
      <c r="A70" s="234" t="s">
        <v>600</v>
      </c>
      <c r="B70" s="73"/>
      <c r="C70" s="74">
        <f>'B4-FinPerf RE'!C30</f>
        <v>110726401</v>
      </c>
      <c r="D70" s="75">
        <f>'B4-FinPerf RE'!D30</f>
        <v>0</v>
      </c>
      <c r="E70" s="75">
        <f>'B4-FinPerf RE'!E30</f>
        <v>0</v>
      </c>
      <c r="F70" s="75">
        <f>'B4-FinPerf RE'!F30</f>
        <v>0</v>
      </c>
      <c r="G70" s="75">
        <f>'B4-FinPerf RE'!G30</f>
        <v>0</v>
      </c>
      <c r="H70" s="75">
        <f>'B4-FinPerf RE'!H30</f>
        <v>0</v>
      </c>
      <c r="I70" s="75">
        <f>'B4-FinPerf RE'!I30</f>
        <v>0</v>
      </c>
      <c r="J70" s="75">
        <f>SUM(E70:I70)</f>
        <v>0</v>
      </c>
      <c r="K70" s="75">
        <f>IF(D70=0,C70+J70,D70+J70)</f>
        <v>110726401</v>
      </c>
      <c r="L70" s="171">
        <f>'B4-FinPerf RE'!L30</f>
        <v>127384502</v>
      </c>
      <c r="M70" s="235">
        <f>'B4-FinPerf RE'!M30</f>
        <v>135825133</v>
      </c>
      <c r="N70" s="127"/>
    </row>
    <row r="71" spans="1:14" ht="12.75" customHeight="1">
      <c r="A71" s="234" t="s">
        <v>840</v>
      </c>
      <c r="B71" s="73">
        <v>3</v>
      </c>
      <c r="C71" s="236">
        <f>SUM(C77:C81)</f>
        <v>100111875</v>
      </c>
      <c r="D71" s="237">
        <f t="shared" ref="D71:M71" si="19">SUM(D77:D81)</f>
        <v>0</v>
      </c>
      <c r="E71" s="237">
        <f t="shared" si="19"/>
        <v>0</v>
      </c>
      <c r="F71" s="237">
        <f t="shared" si="19"/>
        <v>0</v>
      </c>
      <c r="G71" s="237">
        <f t="shared" si="19"/>
        <v>0</v>
      </c>
      <c r="H71" s="237">
        <f t="shared" si="19"/>
        <v>0</v>
      </c>
      <c r="I71" s="237">
        <f>SUM(I77:I81)</f>
        <v>0</v>
      </c>
      <c r="J71" s="237">
        <f t="shared" si="19"/>
        <v>0</v>
      </c>
      <c r="K71" s="237">
        <f t="shared" si="19"/>
        <v>100111875</v>
      </c>
      <c r="L71" s="237">
        <f t="shared" si="19"/>
        <v>105017357</v>
      </c>
      <c r="M71" s="238">
        <f t="shared" si="19"/>
        <v>110163207</v>
      </c>
      <c r="N71" s="127"/>
    </row>
    <row r="72" spans="1:14" ht="12.75" customHeight="1">
      <c r="A72" s="862" t="s">
        <v>826</v>
      </c>
      <c r="B72" s="73"/>
      <c r="C72" s="130">
        <f>SB18c!C9</f>
        <v>24108685</v>
      </c>
      <c r="D72" s="130">
        <f>SB18c!D9</f>
        <v>0</v>
      </c>
      <c r="E72" s="130">
        <f>SB18c!E9</f>
        <v>0</v>
      </c>
      <c r="F72" s="130">
        <f>SB18c!F9</f>
        <v>0</v>
      </c>
      <c r="G72" s="130">
        <f>SB18c!G9</f>
        <v>0</v>
      </c>
      <c r="H72" s="130">
        <f>SB18c!H9</f>
        <v>0</v>
      </c>
      <c r="I72" s="130">
        <f>SB18c!I9</f>
        <v>0</v>
      </c>
      <c r="J72" s="171">
        <f t="shared" ref="J72:J80" si="20">SUM(E72:I72)</f>
        <v>0</v>
      </c>
      <c r="K72" s="171">
        <f t="shared" ref="K72:K81" si="21">IF(D72=0,C72+J72,D72+J72)</f>
        <v>24108685</v>
      </c>
      <c r="L72" s="131">
        <f>SB18c!L9</f>
        <v>25290011</v>
      </c>
      <c r="M72" s="266">
        <f>SB18c!M9</f>
        <v>26529221</v>
      </c>
      <c r="N72" s="127"/>
    </row>
    <row r="73" spans="1:14" ht="12.75" customHeight="1">
      <c r="A73" s="862" t="s">
        <v>827</v>
      </c>
      <c r="B73" s="73"/>
      <c r="C73" s="130">
        <f>SB18c!C12</f>
        <v>30759510</v>
      </c>
      <c r="D73" s="130">
        <f>SB18c!D12</f>
        <v>0</v>
      </c>
      <c r="E73" s="130">
        <f>SB18c!E12</f>
        <v>0</v>
      </c>
      <c r="F73" s="130">
        <f>SB18c!F12</f>
        <v>0</v>
      </c>
      <c r="G73" s="130">
        <f>SB18c!G12</f>
        <v>0</v>
      </c>
      <c r="H73" s="130">
        <f>SB18c!H12</f>
        <v>0</v>
      </c>
      <c r="I73" s="130">
        <f>SB18c!I12</f>
        <v>0</v>
      </c>
      <c r="J73" s="171">
        <f t="shared" si="20"/>
        <v>0</v>
      </c>
      <c r="K73" s="171">
        <f t="shared" si="21"/>
        <v>30759510</v>
      </c>
      <c r="L73" s="130">
        <f>SB18c!L12</f>
        <v>32266726</v>
      </c>
      <c r="M73" s="132">
        <f>SB18c!M12</f>
        <v>33847796</v>
      </c>
      <c r="N73" s="127"/>
    </row>
    <row r="74" spans="1:14" ht="12.75" customHeight="1">
      <c r="A74" s="862" t="s">
        <v>828</v>
      </c>
      <c r="B74" s="73"/>
      <c r="C74" s="130">
        <f>SB18c!C16</f>
        <v>0</v>
      </c>
      <c r="D74" s="130">
        <f>SB18c!D16</f>
        <v>0</v>
      </c>
      <c r="E74" s="130">
        <f>SB18c!E16</f>
        <v>0</v>
      </c>
      <c r="F74" s="130">
        <f>SB18c!F16</f>
        <v>0</v>
      </c>
      <c r="G74" s="130">
        <f>SB18c!G16</f>
        <v>0</v>
      </c>
      <c r="H74" s="130">
        <f>SB18c!H16</f>
        <v>0</v>
      </c>
      <c r="I74" s="130">
        <f>SB18c!I16</f>
        <v>0</v>
      </c>
      <c r="J74" s="171">
        <f t="shared" si="20"/>
        <v>0</v>
      </c>
      <c r="K74" s="171">
        <f t="shared" si="21"/>
        <v>0</v>
      </c>
      <c r="L74" s="131">
        <f>SB18c!L16</f>
        <v>0</v>
      </c>
      <c r="M74" s="132">
        <f>SB18c!M16</f>
        <v>0</v>
      </c>
      <c r="N74" s="127"/>
    </row>
    <row r="75" spans="1:14" ht="12.75" customHeight="1">
      <c r="A75" s="862" t="s">
        <v>829</v>
      </c>
      <c r="B75" s="73"/>
      <c r="C75" s="130">
        <f>SB18c!C20</f>
        <v>0</v>
      </c>
      <c r="D75" s="130">
        <f>SB18c!D20</f>
        <v>0</v>
      </c>
      <c r="E75" s="130">
        <f>SB18c!E20</f>
        <v>0</v>
      </c>
      <c r="F75" s="130">
        <f>SB18c!F20</f>
        <v>0</v>
      </c>
      <c r="G75" s="130">
        <f>SB18c!G20</f>
        <v>0</v>
      </c>
      <c r="H75" s="130">
        <f>SB18c!H20</f>
        <v>0</v>
      </c>
      <c r="I75" s="130">
        <f>SB18c!I20</f>
        <v>0</v>
      </c>
      <c r="J75" s="171">
        <f t="shared" si="20"/>
        <v>0</v>
      </c>
      <c r="K75" s="171">
        <f t="shared" si="21"/>
        <v>0</v>
      </c>
      <c r="L75" s="131">
        <f>SB18c!L20</f>
        <v>0</v>
      </c>
      <c r="M75" s="132">
        <f>SB18c!M20</f>
        <v>0</v>
      </c>
      <c r="N75" s="127"/>
    </row>
    <row r="76" spans="1:14" ht="12.75" customHeight="1">
      <c r="A76" s="862" t="s">
        <v>830</v>
      </c>
      <c r="B76" s="73"/>
      <c r="C76" s="130">
        <f>SB18c!C23</f>
        <v>54900</v>
      </c>
      <c r="D76" s="130">
        <f>SB18c!D23</f>
        <v>0</v>
      </c>
      <c r="E76" s="130">
        <f>SB18c!E23</f>
        <v>0</v>
      </c>
      <c r="F76" s="130">
        <f>SB18c!F23</f>
        <v>0</v>
      </c>
      <c r="G76" s="130">
        <f>SB18c!G23</f>
        <v>0</v>
      </c>
      <c r="H76" s="130">
        <f>SB18c!H23</f>
        <v>0</v>
      </c>
      <c r="I76" s="130">
        <f>SB18c!I23</f>
        <v>0</v>
      </c>
      <c r="J76" s="171">
        <f t="shared" si="20"/>
        <v>0</v>
      </c>
      <c r="K76" s="171">
        <f t="shared" si="21"/>
        <v>54900</v>
      </c>
      <c r="L76" s="131">
        <f>SB18c!L23</f>
        <v>57590</v>
      </c>
      <c r="M76" s="132">
        <f>SB18c!M23</f>
        <v>60412</v>
      </c>
      <c r="N76" s="127"/>
    </row>
    <row r="77" spans="1:14" ht="12.75" customHeight="1">
      <c r="A77" s="163" t="s">
        <v>831</v>
      </c>
      <c r="B77" s="73"/>
      <c r="C77" s="726">
        <f>SUM(C72:C76)</f>
        <v>54923095</v>
      </c>
      <c r="D77" s="265">
        <f t="shared" ref="D77:I77" si="22">SUM(D72:D76)</f>
        <v>0</v>
      </c>
      <c r="E77" s="265">
        <f t="shared" si="22"/>
        <v>0</v>
      </c>
      <c r="F77" s="265">
        <f t="shared" si="22"/>
        <v>0</v>
      </c>
      <c r="G77" s="265">
        <f t="shared" si="22"/>
        <v>0</v>
      </c>
      <c r="H77" s="265">
        <f t="shared" si="22"/>
        <v>0</v>
      </c>
      <c r="I77" s="265">
        <f t="shared" si="22"/>
        <v>0</v>
      </c>
      <c r="J77" s="601">
        <f>SUM(J72:J76)</f>
        <v>0</v>
      </c>
      <c r="K77" s="601">
        <f>SUM(K72:K76)</f>
        <v>54923095</v>
      </c>
      <c r="L77" s="265">
        <f>SUM(L72:L76)</f>
        <v>57614327</v>
      </c>
      <c r="M77" s="266">
        <f>SUM(M72:M76)</f>
        <v>60437429</v>
      </c>
      <c r="N77" s="127"/>
    </row>
    <row r="78" spans="1:14" ht="12.75" customHeight="1">
      <c r="A78" s="163" t="s">
        <v>832</v>
      </c>
      <c r="B78" s="73"/>
      <c r="C78" s="130">
        <f>SB18c!C29</f>
        <v>3644043</v>
      </c>
      <c r="D78" s="130">
        <f>SB18c!D29</f>
        <v>0</v>
      </c>
      <c r="E78" s="130">
        <f>SB18c!E29</f>
        <v>0</v>
      </c>
      <c r="F78" s="130">
        <f>SB18c!F29</f>
        <v>0</v>
      </c>
      <c r="G78" s="130">
        <f>SB18c!G29</f>
        <v>0</v>
      </c>
      <c r="H78" s="130">
        <f>SB18c!H29</f>
        <v>0</v>
      </c>
      <c r="I78" s="130">
        <f>SB18c!I29</f>
        <v>0</v>
      </c>
      <c r="J78" s="171">
        <f t="shared" si="20"/>
        <v>0</v>
      </c>
      <c r="K78" s="171">
        <f t="shared" si="21"/>
        <v>3644043</v>
      </c>
      <c r="L78" s="131">
        <f>SB18c!L29</f>
        <v>3822601</v>
      </c>
      <c r="M78" s="132">
        <f>SB18c!M29</f>
        <v>4009909</v>
      </c>
      <c r="N78" s="127"/>
    </row>
    <row r="79" spans="1:14" ht="12.75" customHeight="1">
      <c r="A79" s="163" t="s">
        <v>833</v>
      </c>
      <c r="B79" s="73"/>
      <c r="C79" s="130">
        <f>SB18c!C45</f>
        <v>0</v>
      </c>
      <c r="D79" s="130">
        <f>SB18c!D45</f>
        <v>0</v>
      </c>
      <c r="E79" s="130">
        <f>SB18c!E45</f>
        <v>0</v>
      </c>
      <c r="F79" s="130">
        <f>SB18c!F45</f>
        <v>0</v>
      </c>
      <c r="G79" s="130">
        <f>SB18c!G45</f>
        <v>0</v>
      </c>
      <c r="H79" s="130">
        <f>SB18c!H45</f>
        <v>0</v>
      </c>
      <c r="I79" s="130">
        <f>SB18c!I45</f>
        <v>0</v>
      </c>
      <c r="J79" s="171">
        <f t="shared" si="20"/>
        <v>0</v>
      </c>
      <c r="K79" s="171">
        <f t="shared" si="21"/>
        <v>0</v>
      </c>
      <c r="L79" s="131">
        <f>SB18c!L45</f>
        <v>0</v>
      </c>
      <c r="M79" s="132">
        <f>SB18c!M45</f>
        <v>0</v>
      </c>
      <c r="N79" s="127"/>
    </row>
    <row r="80" spans="1:14" ht="12.75" customHeight="1">
      <c r="A80" s="163" t="s">
        <v>834</v>
      </c>
      <c r="B80" s="73"/>
      <c r="C80" s="130">
        <f>SB18c!C49</f>
        <v>0</v>
      </c>
      <c r="D80" s="130">
        <f>SB18c!D49</f>
        <v>0</v>
      </c>
      <c r="E80" s="130">
        <f>SB18c!E49</f>
        <v>0</v>
      </c>
      <c r="F80" s="130">
        <f>SB18c!F49</f>
        <v>0</v>
      </c>
      <c r="G80" s="130">
        <f>SB18c!G49</f>
        <v>0</v>
      </c>
      <c r="H80" s="130">
        <f>SB18c!H49</f>
        <v>0</v>
      </c>
      <c r="I80" s="130">
        <f>SB18c!I49</f>
        <v>0</v>
      </c>
      <c r="J80" s="171">
        <f t="shared" si="20"/>
        <v>0</v>
      </c>
      <c r="K80" s="171">
        <f t="shared" si="21"/>
        <v>0</v>
      </c>
      <c r="L80" s="131">
        <f>SB18c!L49</f>
        <v>0</v>
      </c>
      <c r="M80" s="132">
        <f>SB18c!M49</f>
        <v>0</v>
      </c>
      <c r="N80" s="127"/>
    </row>
    <row r="81" spans="1:14" ht="12.75" customHeight="1">
      <c r="A81" s="163" t="s">
        <v>835</v>
      </c>
      <c r="B81" s="73">
        <v>6</v>
      </c>
      <c r="C81" s="130">
        <f>SB18c!C53+SB18c!C67+SB18c!C71+SB18c!C75</f>
        <v>41544737</v>
      </c>
      <c r="D81" s="130">
        <f>SB18c!D53+SB18c!D67+SB18c!D71+SB18c!D75</f>
        <v>0</v>
      </c>
      <c r="E81" s="130">
        <f>SB18c!E53+SB18c!E67+SB18c!E71+SB18c!E75</f>
        <v>0</v>
      </c>
      <c r="F81" s="130">
        <f>SB18c!F53+SB18c!F67+SB18c!F71+SB18c!F75</f>
        <v>0</v>
      </c>
      <c r="G81" s="130">
        <f>SB18c!G53+SB18c!G67+SB18c!G71+SB18c!G75</f>
        <v>0</v>
      </c>
      <c r="H81" s="130">
        <f>SB18c!H53+SB18c!H67+SB18c!H71+SB18c!H75</f>
        <v>0</v>
      </c>
      <c r="I81" s="130">
        <f>SB18c!I53+SB18c!I67+SB18c!I71+SB18c!I75</f>
        <v>0</v>
      </c>
      <c r="J81" s="171">
        <f>SUM(E81:I81)</f>
        <v>0</v>
      </c>
      <c r="K81" s="171">
        <f t="shared" si="21"/>
        <v>41544737</v>
      </c>
      <c r="L81" s="131">
        <f>SB18c!L53+SB18c!L67+SB18c!L71+SB18c!L75</f>
        <v>43580429</v>
      </c>
      <c r="M81" s="132">
        <f>SB18c!M53+SB18c!M67+SB18c!M71+SB18c!M75</f>
        <v>45715869</v>
      </c>
      <c r="N81" s="127"/>
    </row>
    <row r="82" spans="1:14" ht="12.75" customHeight="1">
      <c r="A82" s="162" t="s">
        <v>1098</v>
      </c>
      <c r="B82" s="79"/>
      <c r="C82" s="115">
        <f t="shared" ref="C82:M82" si="23">C70+C71</f>
        <v>210838276</v>
      </c>
      <c r="D82" s="116">
        <f t="shared" si="23"/>
        <v>0</v>
      </c>
      <c r="E82" s="116">
        <f t="shared" si="23"/>
        <v>0</v>
      </c>
      <c r="F82" s="116">
        <f t="shared" si="23"/>
        <v>0</v>
      </c>
      <c r="G82" s="116">
        <f t="shared" si="23"/>
        <v>0</v>
      </c>
      <c r="H82" s="116">
        <f t="shared" si="23"/>
        <v>0</v>
      </c>
      <c r="I82" s="116">
        <f t="shared" si="23"/>
        <v>0</v>
      </c>
      <c r="J82" s="116">
        <f t="shared" si="23"/>
        <v>0</v>
      </c>
      <c r="K82" s="116">
        <f t="shared" si="23"/>
        <v>210838276</v>
      </c>
      <c r="L82" s="156">
        <f t="shared" si="23"/>
        <v>232401859</v>
      </c>
      <c r="M82" s="239">
        <f t="shared" si="23"/>
        <v>245988340</v>
      </c>
      <c r="N82" s="127"/>
    </row>
    <row r="83" spans="1:14" ht="5.0999999999999996" customHeight="1">
      <c r="A83" s="135"/>
      <c r="B83" s="73"/>
      <c r="C83" s="240"/>
      <c r="D83" s="75"/>
      <c r="E83" s="75"/>
      <c r="F83" s="75"/>
      <c r="G83" s="75"/>
      <c r="H83" s="75"/>
      <c r="I83" s="75"/>
      <c r="J83" s="75"/>
      <c r="K83" s="75"/>
      <c r="L83" s="75"/>
      <c r="M83" s="76"/>
      <c r="N83" s="127"/>
    </row>
    <row r="84" spans="1:14" ht="12.75" customHeight="1">
      <c r="A84" s="241" t="s">
        <v>1099</v>
      </c>
      <c r="B84" s="73"/>
      <c r="C84" s="242">
        <f>IF(ISERROR(C22/C51),0,(C22/C51))</f>
        <v>8.0299536834082808E-2</v>
      </c>
      <c r="D84" s="243">
        <f>IF(ISERROR(D22/D51),0,(D22/D51))</f>
        <v>0</v>
      </c>
      <c r="E84" s="244"/>
      <c r="F84" s="244"/>
      <c r="G84" s="244"/>
      <c r="H84" s="244"/>
      <c r="I84" s="244"/>
      <c r="J84" s="244"/>
      <c r="K84" s="243">
        <f>IF(ISERROR(K22/K51),0,(K22/K51))</f>
        <v>2.3100069664928061E-2</v>
      </c>
      <c r="L84" s="243">
        <f>IF(ISERROR(L22/L51),0,(L22/L51))</f>
        <v>8.3536772981231674E-2</v>
      </c>
      <c r="M84" s="245">
        <f>IF(ISERROR(M22/M51),0,(M22/M51))</f>
        <v>6.7676953785135816E-2</v>
      </c>
      <c r="N84" s="127"/>
    </row>
    <row r="85" spans="1:14" ht="12.75" customHeight="1">
      <c r="A85" s="241" t="s">
        <v>1100</v>
      </c>
      <c r="B85" s="73"/>
      <c r="C85" s="242">
        <f>IF(ISERROR(C22/C70),0,(C22/C70))</f>
        <v>0.12011588817015736</v>
      </c>
      <c r="D85" s="243">
        <f>IF(ISERROR(D22/D70),0,(D22/D70))</f>
        <v>0</v>
      </c>
      <c r="E85" s="244"/>
      <c r="F85" s="244"/>
      <c r="G85" s="244"/>
      <c r="H85" s="244"/>
      <c r="I85" s="244"/>
      <c r="J85" s="244"/>
      <c r="K85" s="243">
        <f>IF(ISERROR(K22/K70),0,(K22/K70))</f>
        <v>4.5371835033272689E-2</v>
      </c>
      <c r="L85" s="243">
        <f>IF(ISERROR(L22/L70),0,(L22/L70))</f>
        <v>0.10952431246306556</v>
      </c>
      <c r="M85" s="245">
        <f>IF(ISERROR(M22/M70),0,(M22/M70))</f>
        <v>0.10775129518923424</v>
      </c>
      <c r="N85" s="127"/>
    </row>
    <row r="86" spans="1:14" ht="12.75" customHeight="1">
      <c r="A86" s="241" t="s">
        <v>1101</v>
      </c>
      <c r="B86" s="73"/>
      <c r="C86" s="242">
        <f>IF(ISERROR(C71/C67),0,(C71/C67))</f>
        <v>5.6176210533167771E-2</v>
      </c>
      <c r="D86" s="243">
        <f>IF(ISERROR(D71/D67),0,(D71/D67))</f>
        <v>0</v>
      </c>
      <c r="E86" s="244"/>
      <c r="F86" s="244"/>
      <c r="G86" s="244"/>
      <c r="H86" s="244"/>
      <c r="I86" s="244"/>
      <c r="J86" s="244"/>
      <c r="K86" s="243">
        <f>IF(ISERROR(K71/K67),0,(K71/K67))</f>
        <v>5.4587905435090588E-2</v>
      </c>
      <c r="L86" s="243">
        <f>IF(ISERROR(L71/L67),0,(L71/L67))</f>
        <v>5.3756029924219649E-2</v>
      </c>
      <c r="M86" s="245">
        <f>IF(ISERROR(M71/M67),0,(M71/M67))</f>
        <v>5.0665649411969473E-2</v>
      </c>
      <c r="N86" s="127"/>
    </row>
    <row r="87" spans="1:14" ht="12.75" customHeight="1">
      <c r="A87" s="241" t="s">
        <v>1102</v>
      </c>
      <c r="B87" s="73"/>
      <c r="C87" s="242">
        <f>IF(ISERROR((C22+C71)/C67),0,((C22+C71)/C67))</f>
        <v>6.3639297205864004E-2</v>
      </c>
      <c r="D87" s="243">
        <f>IF(ISERROR((D22+D71)/D67),0,((D22+D71)/D67))</f>
        <v>0</v>
      </c>
      <c r="E87" s="244"/>
      <c r="F87" s="244"/>
      <c r="G87" s="244"/>
      <c r="H87" s="244"/>
      <c r="I87" s="244"/>
      <c r="J87" s="244"/>
      <c r="K87" s="243">
        <f>IF(ISERROR((K22+K71)/K67),0,((K22+K71)/K67))</f>
        <v>5.7327260727348714E-2</v>
      </c>
      <c r="L87" s="243">
        <f>IF(ISERROR((L22+L71)/L67),0,((L22+L71)/L67))</f>
        <v>6.0897592272753473E-2</v>
      </c>
      <c r="M87" s="245">
        <f>IF(ISERROR((M22+M71)/M67),0,((M22+M71)/M67))</f>
        <v>5.7396650820371438E-2</v>
      </c>
      <c r="N87" s="127"/>
    </row>
    <row r="88" spans="1:14" ht="3.75" customHeight="1">
      <c r="A88" s="246"/>
      <c r="B88" s="88"/>
      <c r="C88" s="247"/>
      <c r="D88" s="248"/>
      <c r="E88" s="249"/>
      <c r="F88" s="249"/>
      <c r="G88" s="249"/>
      <c r="H88" s="249"/>
      <c r="I88" s="249"/>
      <c r="J88" s="249"/>
      <c r="K88" s="248"/>
      <c r="L88" s="248"/>
      <c r="M88" s="250"/>
      <c r="N88" s="127"/>
    </row>
    <row r="89" spans="1:14" ht="12.75" customHeight="1">
      <c r="A89" s="157" t="str">
        <f>head27a</f>
        <v>References</v>
      </c>
      <c r="B89" s="93"/>
      <c r="C89" s="96"/>
      <c r="D89" s="96"/>
      <c r="E89" s="96"/>
      <c r="F89" s="96"/>
      <c r="G89" s="96"/>
      <c r="H89" s="96"/>
      <c r="I89" s="96"/>
      <c r="J89" s="96"/>
      <c r="K89" s="96"/>
      <c r="L89" s="96"/>
      <c r="M89" s="96"/>
      <c r="N89" s="127"/>
    </row>
    <row r="90" spans="1:14" ht="12.75" customHeight="1">
      <c r="A90" s="663" t="s">
        <v>1191</v>
      </c>
      <c r="B90" s="99"/>
      <c r="C90" s="99"/>
      <c r="D90" s="99"/>
      <c r="E90" s="99"/>
      <c r="F90" s="99"/>
      <c r="G90" s="99"/>
      <c r="H90" s="99"/>
      <c r="I90" s="99"/>
      <c r="J90" s="99"/>
      <c r="K90" s="99"/>
      <c r="L90" s="99"/>
      <c r="M90" s="99"/>
      <c r="N90" s="127"/>
    </row>
    <row r="91" spans="1:14" ht="12.75" customHeight="1">
      <c r="A91" s="663" t="s">
        <v>1192</v>
      </c>
      <c r="B91" s="99"/>
      <c r="C91" s="158"/>
      <c r="D91" s="158"/>
      <c r="E91" s="158"/>
      <c r="F91" s="158"/>
      <c r="G91" s="158"/>
      <c r="H91" s="158"/>
      <c r="I91" s="158"/>
      <c r="J91" s="158"/>
      <c r="K91" s="158"/>
      <c r="L91" s="158"/>
      <c r="M91" s="99"/>
      <c r="N91" s="127"/>
    </row>
    <row r="92" spans="1:14" ht="12.75" customHeight="1">
      <c r="A92" s="663" t="s">
        <v>1193</v>
      </c>
      <c r="B92" s="93"/>
      <c r="C92" s="96"/>
      <c r="D92" s="96"/>
      <c r="E92" s="96"/>
      <c r="F92" s="96"/>
      <c r="G92" s="96"/>
      <c r="H92" s="96"/>
      <c r="I92" s="96"/>
      <c r="J92" s="96"/>
      <c r="K92" s="96"/>
      <c r="L92" s="96"/>
      <c r="M92" s="96"/>
      <c r="N92" s="127"/>
    </row>
    <row r="93" spans="1:14" ht="12.75" customHeight="1">
      <c r="A93" s="119" t="s">
        <v>1194</v>
      </c>
      <c r="B93" s="93"/>
      <c r="C93" s="96"/>
      <c r="D93" s="96"/>
      <c r="E93" s="96"/>
      <c r="F93" s="96"/>
      <c r="G93" s="96"/>
      <c r="H93" s="96"/>
      <c r="I93" s="96"/>
      <c r="J93" s="96"/>
      <c r="K93" s="96"/>
      <c r="L93" s="96"/>
      <c r="M93" s="96"/>
      <c r="N93" s="127"/>
    </row>
    <row r="94" spans="1:14" ht="12.75" customHeight="1">
      <c r="A94" s="663" t="s">
        <v>581</v>
      </c>
      <c r="B94" s="93"/>
      <c r="C94" s="96"/>
      <c r="D94" s="96"/>
      <c r="E94" s="96"/>
      <c r="F94" s="96"/>
      <c r="G94" s="96"/>
      <c r="H94" s="96"/>
      <c r="I94" s="96"/>
      <c r="J94" s="96"/>
      <c r="K94" s="96"/>
      <c r="L94" s="96"/>
      <c r="M94" s="96"/>
      <c r="N94" s="127"/>
    </row>
    <row r="95" spans="1:14" ht="12.75" customHeight="1">
      <c r="A95" s="119" t="s">
        <v>1195</v>
      </c>
      <c r="B95" s="93"/>
      <c r="C95" s="96"/>
      <c r="D95" s="96"/>
      <c r="E95" s="96"/>
      <c r="F95" s="96"/>
      <c r="G95" s="96"/>
      <c r="H95" s="96"/>
      <c r="I95" s="96"/>
      <c r="J95" s="96"/>
      <c r="K95" s="96"/>
      <c r="L95" s="96"/>
      <c r="M95" s="96"/>
    </row>
    <row r="96" spans="1:14" ht="12.75" customHeight="1">
      <c r="A96" s="1324" t="s">
        <v>1104</v>
      </c>
      <c r="B96" s="1324"/>
      <c r="C96" s="1324"/>
      <c r="D96" s="1324"/>
      <c r="E96" s="1324"/>
      <c r="F96" s="1324"/>
      <c r="G96" s="1324"/>
      <c r="H96" s="1324"/>
      <c r="I96" s="1324"/>
      <c r="J96" s="1324"/>
      <c r="K96" s="1324"/>
      <c r="L96" s="1324"/>
      <c r="M96" s="1324"/>
    </row>
    <row r="97" spans="1:15" ht="24.95" customHeight="1">
      <c r="A97" s="1324" t="s">
        <v>1196</v>
      </c>
      <c r="B97" s="1324"/>
      <c r="C97" s="1324"/>
      <c r="D97" s="1324"/>
      <c r="E97" s="1324"/>
      <c r="F97" s="1324"/>
      <c r="G97" s="1324"/>
      <c r="H97" s="1324"/>
      <c r="I97" s="1324"/>
      <c r="J97" s="1324"/>
      <c r="K97" s="1324"/>
      <c r="L97" s="1324"/>
      <c r="M97" s="1324"/>
    </row>
    <row r="98" spans="1:15" ht="12.75" customHeight="1">
      <c r="A98" s="1318" t="s">
        <v>1197</v>
      </c>
      <c r="B98" s="1318"/>
      <c r="C98" s="1318"/>
      <c r="D98" s="1318"/>
      <c r="E98" s="1318"/>
      <c r="F98" s="1318"/>
      <c r="G98" s="1318"/>
      <c r="H98" s="1318"/>
      <c r="I98" s="1318"/>
      <c r="J98" s="1318"/>
      <c r="K98" s="1318"/>
      <c r="L98" s="1318"/>
      <c r="M98" s="1318"/>
    </row>
    <row r="99" spans="1:15" ht="12.75" customHeight="1">
      <c r="A99" s="1318" t="s">
        <v>1198</v>
      </c>
      <c r="B99" s="1318"/>
      <c r="C99" s="1318"/>
      <c r="D99" s="1318"/>
      <c r="E99" s="1318"/>
      <c r="F99" s="1318"/>
      <c r="G99" s="1318"/>
      <c r="H99" s="1318"/>
      <c r="I99" s="1318"/>
      <c r="J99" s="1318"/>
      <c r="K99" s="1318"/>
      <c r="L99" s="1318"/>
      <c r="M99" s="1318"/>
    </row>
    <row r="100" spans="1:15" ht="12.75" customHeight="1">
      <c r="A100" s="99" t="s">
        <v>1199</v>
      </c>
      <c r="B100" s="93"/>
      <c r="C100" s="96"/>
      <c r="D100" s="96"/>
      <c r="E100" s="96"/>
      <c r="F100" s="96"/>
      <c r="G100" s="96"/>
      <c r="H100" s="96"/>
      <c r="I100" s="96"/>
      <c r="J100" s="96"/>
      <c r="K100" s="96"/>
      <c r="L100" s="96"/>
      <c r="M100" s="96"/>
    </row>
    <row r="101" spans="1:15" ht="27" customHeight="1">
      <c r="A101" s="1318" t="s">
        <v>1200</v>
      </c>
      <c r="B101" s="1318"/>
      <c r="C101" s="1318"/>
      <c r="D101" s="1318"/>
      <c r="E101" s="1318"/>
      <c r="F101" s="1318"/>
      <c r="G101" s="1318"/>
      <c r="H101" s="1318"/>
      <c r="I101" s="1318"/>
      <c r="J101" s="1318"/>
      <c r="K101" s="1318"/>
      <c r="L101" s="1318"/>
      <c r="M101" s="1318"/>
    </row>
    <row r="102" spans="1:15" ht="12.75" customHeight="1">
      <c r="A102" s="99" t="s">
        <v>1162</v>
      </c>
      <c r="B102" s="93"/>
      <c r="C102" s="96"/>
      <c r="D102" s="96"/>
      <c r="E102" s="96"/>
      <c r="F102" s="96"/>
      <c r="G102" s="96"/>
      <c r="H102" s="96"/>
      <c r="I102" s="96"/>
      <c r="J102" s="96"/>
      <c r="K102" s="96"/>
      <c r="L102" s="96"/>
      <c r="M102" s="96"/>
    </row>
    <row r="103" spans="1:15" ht="12.75" customHeight="1">
      <c r="A103" s="1318" t="s">
        <v>1163</v>
      </c>
      <c r="B103" s="1318"/>
      <c r="C103" s="1318"/>
      <c r="D103" s="1318"/>
      <c r="E103" s="1318"/>
      <c r="F103" s="1318"/>
      <c r="G103" s="1318"/>
      <c r="H103" s="1318"/>
      <c r="I103" s="1318"/>
      <c r="J103" s="1318"/>
      <c r="K103" s="1318"/>
      <c r="L103" s="1318"/>
      <c r="M103" s="1318"/>
    </row>
    <row r="104" spans="1:15" ht="12.75" customHeight="1"/>
    <row r="105" spans="1:15" ht="12.75" customHeight="1">
      <c r="A105" s="127"/>
      <c r="B105" s="1111"/>
      <c r="C105" s="1112"/>
      <c r="D105" s="1112"/>
      <c r="E105" s="1112"/>
      <c r="F105" s="1112"/>
      <c r="G105" s="1112"/>
      <c r="H105" s="1112"/>
      <c r="I105" s="1112"/>
      <c r="J105" s="1112"/>
      <c r="K105" s="1112"/>
      <c r="L105" s="1112"/>
      <c r="M105" s="1112"/>
      <c r="N105" s="127"/>
      <c r="O105" s="127"/>
    </row>
    <row r="106" spans="1:15" ht="12.75" customHeight="1">
      <c r="B106" s="251" t="s">
        <v>1164</v>
      </c>
      <c r="C106" s="252">
        <f>SUM('B6-FinPos'!C21:C24)-'B9-Asset'!C67</f>
        <v>0</v>
      </c>
      <c r="D106" s="252">
        <f>SUM('B6-FinPos'!D21:D24)-'B9-Asset'!D67</f>
        <v>0</v>
      </c>
      <c r="E106" s="252">
        <f>SUM('B6-FinPos'!E21:E24)-'B9-Asset'!E67</f>
        <v>0</v>
      </c>
      <c r="F106" s="252">
        <f>SUM('B6-FinPos'!F21:F24)-'B9-Asset'!F67</f>
        <v>0</v>
      </c>
      <c r="G106" s="252">
        <f>SUM('B6-FinPos'!G21:G24)-'B9-Asset'!G67</f>
        <v>0</v>
      </c>
      <c r="H106" s="252">
        <f>SUM('B6-FinPos'!H21:H24)-'B9-Asset'!H67</f>
        <v>0</v>
      </c>
      <c r="I106" s="252">
        <f>SUM('B6-FinPos'!I21:I24)-'B9-Asset'!I67</f>
        <v>0</v>
      </c>
      <c r="J106" s="252">
        <f>SUM('B6-FinPos'!J21:J24)-'B9-Asset'!J67</f>
        <v>0</v>
      </c>
      <c r="K106" s="252">
        <f>SUM('B6-FinPos'!K21:K24)-'B9-Asset'!K67</f>
        <v>0</v>
      </c>
      <c r="L106" s="252">
        <f>SUM('B6-FinPos'!L21:L24)-'B9-Asset'!L67</f>
        <v>0</v>
      </c>
      <c r="M106" s="252">
        <f>SUM('B6-FinPos'!M21:M24)-'B9-Asset'!M67</f>
        <v>0</v>
      </c>
    </row>
    <row r="107" spans="1:15" ht="12.75" customHeight="1"/>
    <row r="108" spans="1:15" ht="12.75" customHeight="1"/>
    <row r="109" spans="1:15" ht="12.75" customHeight="1"/>
    <row r="110" spans="1:15" ht="12.75" customHeight="1"/>
    <row r="111" spans="1:15" ht="12.75" customHeight="1"/>
    <row r="112" spans="1: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sheetData>
  <sheetProtection sheet="1" objects="1" scenarios="1"/>
  <mergeCells count="9">
    <mergeCell ref="A103:M103"/>
    <mergeCell ref="A97:M97"/>
    <mergeCell ref="A101:M101"/>
    <mergeCell ref="C2:K2"/>
    <mergeCell ref="A2:A4"/>
    <mergeCell ref="B2:B4"/>
    <mergeCell ref="A96:M96"/>
    <mergeCell ref="A98:M98"/>
    <mergeCell ref="A99:M99"/>
  </mergeCells>
  <phoneticPr fontId="17"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sheetPr codeName="Sheet4" enableFormatConditionsCalculation="0">
    <tabColor indexed="44"/>
    <pageSetUpPr fitToPage="1"/>
  </sheetPr>
  <dimension ref="A1:N134"/>
  <sheetViews>
    <sheetView showGridLines="0" workbookViewId="0">
      <pane xSplit="2" ySplit="5" topLeftCell="C33" activePane="bottomRight" state="frozen"/>
      <selection activeCell="M17" sqref="M17:M63"/>
      <selection pane="topRight" activeCell="M17" sqref="M17:M63"/>
      <selection pane="bottomLeft" activeCell="M17" sqref="M17:M63"/>
      <selection pane="bottomRight" activeCell="D42" sqref="D42:E44"/>
    </sheetView>
  </sheetViews>
  <sheetFormatPr defaultRowHeight="12.7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c r="A1" s="253" t="str">
        <f>muni&amp;" - "&amp;_ADJ10&amp;" - "&amp;Date</f>
        <v>LIM333 Greater Tzaneen - Table B10 Consolidated Basic service delivery measurement - 26 FEBRUARY 2014</v>
      </c>
      <c r="B1" s="253"/>
      <c r="C1" s="253"/>
      <c r="D1" s="253"/>
      <c r="E1" s="253"/>
      <c r="F1" s="253"/>
      <c r="G1" s="253"/>
      <c r="H1" s="253"/>
    </row>
    <row r="2" spans="1:14" ht="28.5" customHeight="1">
      <c r="A2" s="1347" t="str">
        <f>desc</f>
        <v>Description</v>
      </c>
      <c r="B2" s="1350" t="str">
        <f>head27</f>
        <v>Ref</v>
      </c>
      <c r="C2" s="1353" t="str">
        <f>Head2</f>
        <v>Budget Year 2013/14</v>
      </c>
      <c r="D2" s="1353"/>
      <c r="E2" s="1353"/>
      <c r="F2" s="1353"/>
      <c r="G2" s="1353"/>
      <c r="H2" s="1353"/>
      <c r="I2" s="1353"/>
      <c r="J2" s="1353"/>
      <c r="K2" s="1354"/>
      <c r="L2" s="103" t="str">
        <f>Head10</f>
        <v>Budget Year +1 2014/15</v>
      </c>
      <c r="M2" s="61" t="str">
        <f>Head11</f>
        <v>Budget Year +2 2015/16</v>
      </c>
    </row>
    <row r="3" spans="1:14" ht="28.5" customHeight="1">
      <c r="A3" s="1348"/>
      <c r="B3" s="135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48"/>
      <c r="B4" s="1351"/>
      <c r="C4" s="15"/>
      <c r="D4" s="15">
        <v>7</v>
      </c>
      <c r="E4" s="15">
        <v>8</v>
      </c>
      <c r="F4" s="15">
        <v>9</v>
      </c>
      <c r="G4" s="15">
        <v>10</v>
      </c>
      <c r="H4" s="15">
        <v>11</v>
      </c>
      <c r="I4" s="15">
        <v>12</v>
      </c>
      <c r="J4" s="15">
        <v>13</v>
      </c>
      <c r="K4" s="15">
        <v>14</v>
      </c>
      <c r="L4" s="15"/>
      <c r="M4" s="17"/>
    </row>
    <row r="5" spans="1:14">
      <c r="A5" s="1349"/>
      <c r="B5" s="1352"/>
      <c r="C5" s="69" t="s">
        <v>583</v>
      </c>
      <c r="D5" s="68" t="s">
        <v>584</v>
      </c>
      <c r="E5" s="68" t="s">
        <v>585</v>
      </c>
      <c r="F5" s="69" t="s">
        <v>586</v>
      </c>
      <c r="G5" s="69" t="s">
        <v>587</v>
      </c>
      <c r="H5" s="69" t="s">
        <v>588</v>
      </c>
      <c r="I5" s="70" t="s">
        <v>589</v>
      </c>
      <c r="J5" s="70" t="s">
        <v>590</v>
      </c>
      <c r="K5" s="70" t="s">
        <v>591</v>
      </c>
      <c r="L5" s="70"/>
      <c r="M5" s="71"/>
    </row>
    <row r="6" spans="1:14" ht="11.25" customHeight="1">
      <c r="A6" s="255" t="s">
        <v>1628</v>
      </c>
      <c r="B6" s="256">
        <v>1</v>
      </c>
      <c r="C6" s="257"/>
      <c r="D6" s="257"/>
      <c r="E6" s="257"/>
      <c r="F6" s="257"/>
      <c r="G6" s="257"/>
      <c r="H6" s="257"/>
      <c r="I6" s="258"/>
      <c r="J6" s="258"/>
      <c r="K6" s="258"/>
      <c r="L6" s="258"/>
      <c r="M6" s="259"/>
    </row>
    <row r="7" spans="1:14">
      <c r="A7" s="260" t="s">
        <v>638</v>
      </c>
      <c r="B7" s="256"/>
      <c r="C7" s="131"/>
      <c r="D7" s="131"/>
      <c r="E7" s="131"/>
      <c r="F7" s="131"/>
      <c r="G7" s="131"/>
      <c r="H7" s="131"/>
      <c r="I7" s="258"/>
      <c r="J7" s="258"/>
      <c r="K7" s="258"/>
      <c r="L7" s="258"/>
      <c r="M7" s="261"/>
      <c r="N7" s="870"/>
    </row>
    <row r="8" spans="1:14" ht="11.25" customHeight="1">
      <c r="A8" s="262" t="s">
        <v>1201</v>
      </c>
      <c r="B8" s="256"/>
      <c r="C8" s="635"/>
      <c r="D8" s="635"/>
      <c r="E8" s="635"/>
      <c r="F8" s="635"/>
      <c r="G8" s="635"/>
      <c r="H8" s="635"/>
      <c r="I8" s="635"/>
      <c r="J8" s="131">
        <f t="shared" ref="J8:J15" si="0">SUM(E8:I8)</f>
        <v>0</v>
      </c>
      <c r="K8" s="131">
        <f t="shared" ref="K8:K15" si="1">IF(D8=0,C8+J8,D8+J8)</f>
        <v>0</v>
      </c>
      <c r="L8" s="263"/>
      <c r="M8" s="264"/>
      <c r="N8" s="870"/>
    </row>
    <row r="9" spans="1:14" ht="11.25" customHeight="1">
      <c r="A9" s="262" t="s">
        <v>1202</v>
      </c>
      <c r="B9" s="256"/>
      <c r="C9" s="635"/>
      <c r="D9" s="635"/>
      <c r="E9" s="635"/>
      <c r="F9" s="635"/>
      <c r="G9" s="635"/>
      <c r="H9" s="635"/>
      <c r="I9" s="635"/>
      <c r="J9" s="131">
        <f t="shared" si="0"/>
        <v>0</v>
      </c>
      <c r="K9" s="131">
        <f t="shared" si="1"/>
        <v>0</v>
      </c>
      <c r="L9" s="263"/>
      <c r="M9" s="264"/>
      <c r="N9" s="870"/>
    </row>
    <row r="10" spans="1:14" ht="11.25" customHeight="1">
      <c r="A10" s="262" t="s">
        <v>1203</v>
      </c>
      <c r="B10" s="256">
        <v>2</v>
      </c>
      <c r="C10" s="635"/>
      <c r="D10" s="635"/>
      <c r="E10" s="635"/>
      <c r="F10" s="635"/>
      <c r="G10" s="635"/>
      <c r="H10" s="635"/>
      <c r="I10" s="635"/>
      <c r="J10" s="131">
        <f t="shared" si="0"/>
        <v>0</v>
      </c>
      <c r="K10" s="131">
        <f t="shared" si="1"/>
        <v>0</v>
      </c>
      <c r="L10" s="263"/>
      <c r="M10" s="264"/>
      <c r="N10" s="870"/>
    </row>
    <row r="11" spans="1:14" ht="11.25" customHeight="1">
      <c r="A11" s="262" t="s">
        <v>1204</v>
      </c>
      <c r="B11" s="256"/>
      <c r="C11" s="635"/>
      <c r="D11" s="635"/>
      <c r="E11" s="635"/>
      <c r="F11" s="635"/>
      <c r="G11" s="635"/>
      <c r="H11" s="635"/>
      <c r="I11" s="635"/>
      <c r="J11" s="131">
        <f t="shared" si="0"/>
        <v>0</v>
      </c>
      <c r="K11" s="131">
        <f t="shared" si="1"/>
        <v>0</v>
      </c>
      <c r="L11" s="109"/>
      <c r="M11" s="110"/>
      <c r="N11" s="870"/>
    </row>
    <row r="12" spans="1:14" ht="11.25" customHeight="1">
      <c r="A12" s="860" t="s">
        <v>1271</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70"/>
    </row>
    <row r="13" spans="1:14" ht="11.25" customHeight="1">
      <c r="A13" s="262" t="s">
        <v>1205</v>
      </c>
      <c r="B13" s="256">
        <v>3</v>
      </c>
      <c r="C13" s="635"/>
      <c r="D13" s="635"/>
      <c r="E13" s="635"/>
      <c r="F13" s="635"/>
      <c r="G13" s="635"/>
      <c r="H13" s="635"/>
      <c r="I13" s="635"/>
      <c r="J13" s="131">
        <f t="shared" si="0"/>
        <v>0</v>
      </c>
      <c r="K13" s="131">
        <f t="shared" si="1"/>
        <v>0</v>
      </c>
      <c r="L13" s="263"/>
      <c r="M13" s="264"/>
      <c r="N13" s="870"/>
    </row>
    <row r="14" spans="1:14" ht="11.25" customHeight="1">
      <c r="A14" s="262" t="s">
        <v>1206</v>
      </c>
      <c r="B14" s="256" t="s">
        <v>1207</v>
      </c>
      <c r="C14" s="635"/>
      <c r="D14" s="635"/>
      <c r="E14" s="635"/>
      <c r="F14" s="635"/>
      <c r="G14" s="635"/>
      <c r="H14" s="635"/>
      <c r="I14" s="635"/>
      <c r="J14" s="131">
        <f t="shared" si="0"/>
        <v>0</v>
      </c>
      <c r="K14" s="131">
        <f t="shared" si="1"/>
        <v>0</v>
      </c>
      <c r="L14" s="263"/>
      <c r="M14" s="264"/>
      <c r="N14" s="870"/>
    </row>
    <row r="15" spans="1:14" ht="11.25" customHeight="1">
      <c r="A15" s="262" t="s">
        <v>1208</v>
      </c>
      <c r="B15" s="256"/>
      <c r="C15" s="635"/>
      <c r="D15" s="635"/>
      <c r="E15" s="635"/>
      <c r="F15" s="635"/>
      <c r="G15" s="635"/>
      <c r="H15" s="635"/>
      <c r="I15" s="635"/>
      <c r="J15" s="131">
        <f t="shared" si="0"/>
        <v>0</v>
      </c>
      <c r="K15" s="131">
        <f t="shared" si="1"/>
        <v>0</v>
      </c>
      <c r="L15" s="263"/>
      <c r="M15" s="264"/>
      <c r="N15" s="870"/>
    </row>
    <row r="16" spans="1:14" ht="11.25" customHeight="1">
      <c r="A16" s="860" t="s">
        <v>1272</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70"/>
    </row>
    <row r="17" spans="1:14" ht="11.25" customHeight="1">
      <c r="A17" s="269" t="s">
        <v>1209</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70"/>
    </row>
    <row r="18" spans="1:14" ht="15.75" customHeight="1">
      <c r="A18" s="260" t="s">
        <v>639</v>
      </c>
      <c r="B18" s="256"/>
      <c r="C18" s="131"/>
      <c r="D18" s="131"/>
      <c r="E18" s="131"/>
      <c r="F18" s="131"/>
      <c r="G18" s="131"/>
      <c r="H18" s="131"/>
      <c r="I18" s="258"/>
      <c r="J18" s="258"/>
      <c r="K18" s="258"/>
      <c r="L18" s="258"/>
      <c r="M18" s="261"/>
      <c r="N18" s="870"/>
    </row>
    <row r="19" spans="1:14" ht="11.25" customHeight="1">
      <c r="A19" s="262" t="s">
        <v>1210</v>
      </c>
      <c r="B19" s="256"/>
      <c r="C19" s="635"/>
      <c r="D19" s="635"/>
      <c r="E19" s="635"/>
      <c r="F19" s="635"/>
      <c r="G19" s="635"/>
      <c r="H19" s="635"/>
      <c r="I19" s="635"/>
      <c r="J19" s="948">
        <f t="shared" ref="J19:J27" si="5">SUM(E19:I19)</f>
        <v>0</v>
      </c>
      <c r="K19" s="948">
        <f t="shared" ref="K19:K27" si="6">IF(D19=0,C19+J19,D19+J19)</f>
        <v>0</v>
      </c>
      <c r="L19" s="635"/>
      <c r="M19" s="1129"/>
      <c r="N19" s="870"/>
    </row>
    <row r="20" spans="1:14" ht="11.25" customHeight="1">
      <c r="A20" s="262" t="s">
        <v>1211</v>
      </c>
      <c r="B20" s="256"/>
      <c r="C20" s="635"/>
      <c r="D20" s="635"/>
      <c r="E20" s="635"/>
      <c r="F20" s="635"/>
      <c r="G20" s="635"/>
      <c r="H20" s="635"/>
      <c r="I20" s="635"/>
      <c r="J20" s="948">
        <f t="shared" si="5"/>
        <v>0</v>
      </c>
      <c r="K20" s="948">
        <f t="shared" si="6"/>
        <v>0</v>
      </c>
      <c r="L20" s="635"/>
      <c r="M20" s="1129"/>
      <c r="N20" s="870"/>
    </row>
    <row r="21" spans="1:14" ht="11.25" customHeight="1">
      <c r="A21" s="262" t="s">
        <v>1212</v>
      </c>
      <c r="B21" s="256"/>
      <c r="C21" s="635"/>
      <c r="D21" s="635"/>
      <c r="E21" s="635"/>
      <c r="F21" s="635"/>
      <c r="G21" s="635"/>
      <c r="H21" s="635"/>
      <c r="I21" s="635"/>
      <c r="J21" s="948">
        <f t="shared" si="5"/>
        <v>0</v>
      </c>
      <c r="K21" s="948">
        <f t="shared" si="6"/>
        <v>0</v>
      </c>
      <c r="L21" s="635"/>
      <c r="M21" s="1129"/>
      <c r="N21" s="870"/>
    </row>
    <row r="22" spans="1:14" ht="11.25" customHeight="1">
      <c r="A22" s="262" t="s">
        <v>298</v>
      </c>
      <c r="B22" s="256"/>
      <c r="C22" s="635"/>
      <c r="D22" s="635"/>
      <c r="E22" s="635"/>
      <c r="F22" s="635"/>
      <c r="G22" s="635"/>
      <c r="H22" s="635"/>
      <c r="I22" s="635"/>
      <c r="J22" s="948">
        <f t="shared" si="5"/>
        <v>0</v>
      </c>
      <c r="K22" s="948">
        <f t="shared" si="6"/>
        <v>0</v>
      </c>
      <c r="L22" s="635"/>
      <c r="M22" s="1129"/>
      <c r="N22" s="870"/>
    </row>
    <row r="23" spans="1:14" ht="11.25" customHeight="1">
      <c r="A23" s="262" t="s">
        <v>300</v>
      </c>
      <c r="B23" s="256"/>
      <c r="C23" s="635"/>
      <c r="D23" s="635"/>
      <c r="E23" s="635"/>
      <c r="F23" s="635"/>
      <c r="G23" s="635"/>
      <c r="H23" s="635"/>
      <c r="I23" s="635"/>
      <c r="J23" s="949">
        <f t="shared" si="5"/>
        <v>0</v>
      </c>
      <c r="K23" s="949">
        <f t="shared" si="6"/>
        <v>0</v>
      </c>
      <c r="L23" s="635"/>
      <c r="M23" s="1129"/>
      <c r="N23" s="870"/>
    </row>
    <row r="24" spans="1:14" ht="11.25" customHeight="1">
      <c r="A24" s="860" t="str">
        <f>$A$12</f>
        <v>Minimum Service Level and Above sub-total</v>
      </c>
      <c r="B24" s="256"/>
      <c r="C24" s="727">
        <f t="shared" ref="C24:M24" si="7">SUM(C19:C23)</f>
        <v>0</v>
      </c>
      <c r="D24" s="727">
        <f t="shared" si="7"/>
        <v>0</v>
      </c>
      <c r="E24" s="727">
        <f t="shared" si="7"/>
        <v>0</v>
      </c>
      <c r="F24" s="727">
        <f t="shared" si="7"/>
        <v>0</v>
      </c>
      <c r="G24" s="727">
        <f t="shared" si="7"/>
        <v>0</v>
      </c>
      <c r="H24" s="727">
        <f t="shared" si="7"/>
        <v>0</v>
      </c>
      <c r="I24" s="727">
        <f t="shared" si="7"/>
        <v>0</v>
      </c>
      <c r="J24" s="948">
        <f t="shared" si="5"/>
        <v>0</v>
      </c>
      <c r="K24" s="948">
        <f t="shared" si="6"/>
        <v>0</v>
      </c>
      <c r="L24" s="727">
        <f t="shared" si="7"/>
        <v>0</v>
      </c>
      <c r="M24" s="728">
        <f t="shared" si="7"/>
        <v>0</v>
      </c>
      <c r="N24" s="870"/>
    </row>
    <row r="25" spans="1:14" ht="11.25" customHeight="1">
      <c r="A25" s="262" t="s">
        <v>299</v>
      </c>
      <c r="B25" s="256"/>
      <c r="C25" s="635"/>
      <c r="D25" s="635"/>
      <c r="E25" s="635"/>
      <c r="F25" s="635"/>
      <c r="G25" s="635"/>
      <c r="H25" s="635"/>
      <c r="I25" s="635"/>
      <c r="J25" s="948">
        <f t="shared" si="5"/>
        <v>0</v>
      </c>
      <c r="K25" s="948">
        <f t="shared" si="6"/>
        <v>0</v>
      </c>
      <c r="L25" s="635"/>
      <c r="M25" s="1129"/>
      <c r="N25" s="870"/>
    </row>
    <row r="26" spans="1:14" ht="11.25" customHeight="1">
      <c r="A26" s="262" t="s">
        <v>301</v>
      </c>
      <c r="B26" s="256"/>
      <c r="C26" s="635"/>
      <c r="D26" s="635"/>
      <c r="E26" s="635"/>
      <c r="F26" s="635"/>
      <c r="G26" s="635"/>
      <c r="H26" s="635"/>
      <c r="I26" s="635"/>
      <c r="J26" s="948">
        <f t="shared" si="5"/>
        <v>0</v>
      </c>
      <c r="K26" s="948">
        <f t="shared" si="6"/>
        <v>0</v>
      </c>
      <c r="L26" s="635"/>
      <c r="M26" s="1129"/>
      <c r="N26" s="870"/>
    </row>
    <row r="27" spans="1:14" ht="11.25" customHeight="1">
      <c r="A27" s="262" t="s">
        <v>1213</v>
      </c>
      <c r="B27" s="256"/>
      <c r="C27" s="635"/>
      <c r="D27" s="635"/>
      <c r="E27" s="635"/>
      <c r="F27" s="635"/>
      <c r="G27" s="635"/>
      <c r="H27" s="635"/>
      <c r="I27" s="635"/>
      <c r="J27" s="948">
        <f t="shared" si="5"/>
        <v>0</v>
      </c>
      <c r="K27" s="948">
        <f t="shared" si="6"/>
        <v>0</v>
      </c>
      <c r="L27" s="635"/>
      <c r="M27" s="1129"/>
      <c r="N27" s="870"/>
    </row>
    <row r="28" spans="1:14" ht="11.25" customHeight="1">
      <c r="A28" s="860" t="str">
        <f>$A$16</f>
        <v>Below Minimum Servic Level sub-total</v>
      </c>
      <c r="B28" s="256"/>
      <c r="C28" s="950">
        <f t="shared" ref="C28:M28" si="8">SUM(C25:C27)</f>
        <v>0</v>
      </c>
      <c r="D28" s="950">
        <f t="shared" si="8"/>
        <v>0</v>
      </c>
      <c r="E28" s="950">
        <f t="shared" si="8"/>
        <v>0</v>
      </c>
      <c r="F28" s="950">
        <f t="shared" si="8"/>
        <v>0</v>
      </c>
      <c r="G28" s="950">
        <f t="shared" si="8"/>
        <v>0</v>
      </c>
      <c r="H28" s="950">
        <f t="shared" si="8"/>
        <v>0</v>
      </c>
      <c r="I28" s="950">
        <f t="shared" si="8"/>
        <v>0</v>
      </c>
      <c r="J28" s="950">
        <f t="shared" si="8"/>
        <v>0</v>
      </c>
      <c r="K28" s="950">
        <f t="shared" si="8"/>
        <v>0</v>
      </c>
      <c r="L28" s="950">
        <f t="shared" si="8"/>
        <v>0</v>
      </c>
      <c r="M28" s="951">
        <f t="shared" si="8"/>
        <v>0</v>
      </c>
      <c r="N28" s="870"/>
    </row>
    <row r="29" spans="1:14" ht="11.25" customHeight="1">
      <c r="A29" s="269" t="str">
        <f>$A$17</f>
        <v>Total number of households</v>
      </c>
      <c r="B29" s="256">
        <f>$B$17</f>
        <v>5</v>
      </c>
      <c r="C29" s="952">
        <f t="shared" ref="C29:M29" si="9">C24+C28</f>
        <v>0</v>
      </c>
      <c r="D29" s="952">
        <f t="shared" si="9"/>
        <v>0</v>
      </c>
      <c r="E29" s="952">
        <f t="shared" si="9"/>
        <v>0</v>
      </c>
      <c r="F29" s="952">
        <f t="shared" si="9"/>
        <v>0</v>
      </c>
      <c r="G29" s="952">
        <f t="shared" si="9"/>
        <v>0</v>
      </c>
      <c r="H29" s="952">
        <f t="shared" si="9"/>
        <v>0</v>
      </c>
      <c r="I29" s="952">
        <f t="shared" si="9"/>
        <v>0</v>
      </c>
      <c r="J29" s="952">
        <f t="shared" si="9"/>
        <v>0</v>
      </c>
      <c r="K29" s="952">
        <f t="shared" si="9"/>
        <v>0</v>
      </c>
      <c r="L29" s="952">
        <f t="shared" si="9"/>
        <v>0</v>
      </c>
      <c r="M29" s="953">
        <f t="shared" si="9"/>
        <v>0</v>
      </c>
      <c r="N29" s="870"/>
    </row>
    <row r="30" spans="1:14" ht="15.75" customHeight="1">
      <c r="A30" s="260" t="s">
        <v>640</v>
      </c>
      <c r="B30" s="256"/>
      <c r="C30" s="131"/>
      <c r="D30" s="131"/>
      <c r="E30" s="131"/>
      <c r="F30" s="131"/>
      <c r="G30" s="131"/>
      <c r="H30" s="131"/>
      <c r="I30" s="131"/>
      <c r="J30" s="131"/>
      <c r="K30" s="131"/>
      <c r="L30" s="131"/>
      <c r="M30" s="132"/>
      <c r="N30" s="870"/>
    </row>
    <row r="31" spans="1:14" ht="11.25" customHeight="1">
      <c r="A31" s="262" t="s">
        <v>302</v>
      </c>
      <c r="B31" s="256"/>
      <c r="C31" s="635"/>
      <c r="D31" s="635"/>
      <c r="E31" s="635"/>
      <c r="F31" s="635"/>
      <c r="G31" s="635"/>
      <c r="H31" s="635"/>
      <c r="I31" s="635"/>
      <c r="J31" s="948">
        <f t="shared" ref="J31:J36" si="10">SUM(E31:I31)</f>
        <v>0</v>
      </c>
      <c r="K31" s="948">
        <f t="shared" ref="K31:K36" si="11">IF(D31=0,C31+J31,D31+J31)</f>
        <v>0</v>
      </c>
      <c r="L31" s="635"/>
      <c r="M31" s="1129"/>
      <c r="N31" s="870"/>
    </row>
    <row r="32" spans="1:14" ht="11.25" customHeight="1">
      <c r="A32" s="262" t="s">
        <v>303</v>
      </c>
      <c r="B32" s="256"/>
      <c r="C32" s="635"/>
      <c r="D32" s="635"/>
      <c r="E32" s="635"/>
      <c r="F32" s="635"/>
      <c r="G32" s="635"/>
      <c r="H32" s="635"/>
      <c r="I32" s="635"/>
      <c r="J32" s="948">
        <f t="shared" si="10"/>
        <v>0</v>
      </c>
      <c r="K32" s="948">
        <f t="shared" si="11"/>
        <v>0</v>
      </c>
      <c r="L32" s="635"/>
      <c r="M32" s="1129"/>
      <c r="N32" s="870"/>
    </row>
    <row r="33" spans="1:14" ht="11.25" customHeight="1">
      <c r="A33" s="860" t="str">
        <f>$A$12</f>
        <v>Minimum Service Level and Above sub-total</v>
      </c>
      <c r="B33" s="256"/>
      <c r="C33" s="727">
        <f t="shared" ref="C33:M33" si="12">SUM(C31:C32)</f>
        <v>0</v>
      </c>
      <c r="D33" s="727">
        <f t="shared" si="12"/>
        <v>0</v>
      </c>
      <c r="E33" s="727">
        <f t="shared" si="12"/>
        <v>0</v>
      </c>
      <c r="F33" s="727">
        <f t="shared" si="12"/>
        <v>0</v>
      </c>
      <c r="G33" s="727">
        <f t="shared" si="12"/>
        <v>0</v>
      </c>
      <c r="H33" s="727">
        <f t="shared" si="12"/>
        <v>0</v>
      </c>
      <c r="I33" s="727">
        <f t="shared" si="12"/>
        <v>0</v>
      </c>
      <c r="J33" s="727">
        <f t="shared" si="10"/>
        <v>0</v>
      </c>
      <c r="K33" s="727">
        <f t="shared" si="11"/>
        <v>0</v>
      </c>
      <c r="L33" s="727">
        <f t="shared" si="12"/>
        <v>0</v>
      </c>
      <c r="M33" s="728">
        <f t="shared" si="12"/>
        <v>0</v>
      </c>
      <c r="N33" s="870"/>
    </row>
    <row r="34" spans="1:14" ht="11.25" customHeight="1">
      <c r="A34" s="262" t="s">
        <v>1214</v>
      </c>
      <c r="B34" s="256"/>
      <c r="C34" s="635"/>
      <c r="D34" s="635"/>
      <c r="E34" s="635"/>
      <c r="F34" s="635"/>
      <c r="G34" s="635"/>
      <c r="H34" s="635"/>
      <c r="I34" s="635"/>
      <c r="J34" s="948">
        <f t="shared" si="10"/>
        <v>0</v>
      </c>
      <c r="K34" s="948">
        <f t="shared" si="11"/>
        <v>0</v>
      </c>
      <c r="L34" s="635"/>
      <c r="M34" s="1129"/>
      <c r="N34" s="870"/>
    </row>
    <row r="35" spans="1:14" ht="11.25" customHeight="1">
      <c r="A35" s="262" t="s">
        <v>1215</v>
      </c>
      <c r="B35" s="256"/>
      <c r="C35" s="635"/>
      <c r="D35" s="635"/>
      <c r="E35" s="635"/>
      <c r="F35" s="635"/>
      <c r="G35" s="635"/>
      <c r="H35" s="635"/>
      <c r="I35" s="635"/>
      <c r="J35" s="948">
        <f t="shared" si="10"/>
        <v>0</v>
      </c>
      <c r="K35" s="948">
        <f t="shared" si="11"/>
        <v>0</v>
      </c>
      <c r="L35" s="635"/>
      <c r="M35" s="1129"/>
      <c r="N35" s="870"/>
    </row>
    <row r="36" spans="1:14" ht="11.25" customHeight="1">
      <c r="A36" s="262" t="s">
        <v>1216</v>
      </c>
      <c r="B36" s="256"/>
      <c r="C36" s="635"/>
      <c r="D36" s="635"/>
      <c r="E36" s="635"/>
      <c r="F36" s="635"/>
      <c r="G36" s="635"/>
      <c r="H36" s="635"/>
      <c r="I36" s="635"/>
      <c r="J36" s="948">
        <f t="shared" si="10"/>
        <v>0</v>
      </c>
      <c r="K36" s="948">
        <f t="shared" si="11"/>
        <v>0</v>
      </c>
      <c r="L36" s="635"/>
      <c r="M36" s="1129"/>
      <c r="N36" s="870"/>
    </row>
    <row r="37" spans="1:14" ht="11.25" customHeight="1">
      <c r="A37" s="860" t="str">
        <f>$A$16</f>
        <v>Below Minimum Servic Level sub-total</v>
      </c>
      <c r="B37" s="256"/>
      <c r="C37" s="950">
        <f t="shared" ref="C37:M37" si="13">SUM(C34:C36)</f>
        <v>0</v>
      </c>
      <c r="D37" s="950">
        <f t="shared" si="13"/>
        <v>0</v>
      </c>
      <c r="E37" s="950">
        <f t="shared" si="13"/>
        <v>0</v>
      </c>
      <c r="F37" s="950">
        <f t="shared" si="13"/>
        <v>0</v>
      </c>
      <c r="G37" s="950">
        <f t="shared" si="13"/>
        <v>0</v>
      </c>
      <c r="H37" s="950">
        <f t="shared" si="13"/>
        <v>0</v>
      </c>
      <c r="I37" s="950">
        <f t="shared" si="13"/>
        <v>0</v>
      </c>
      <c r="J37" s="950">
        <f t="shared" si="13"/>
        <v>0</v>
      </c>
      <c r="K37" s="950">
        <f t="shared" si="13"/>
        <v>0</v>
      </c>
      <c r="L37" s="950">
        <f t="shared" si="13"/>
        <v>0</v>
      </c>
      <c r="M37" s="951">
        <f t="shared" si="13"/>
        <v>0</v>
      </c>
      <c r="N37" s="870"/>
    </row>
    <row r="38" spans="1:14" ht="11.25" customHeight="1">
      <c r="A38" s="269" t="str">
        <f>$A$17</f>
        <v>Total number of households</v>
      </c>
      <c r="B38" s="256">
        <f>$B$17</f>
        <v>5</v>
      </c>
      <c r="C38" s="727">
        <f t="shared" ref="C38:M38" si="14">C33+C37</f>
        <v>0</v>
      </c>
      <c r="D38" s="727">
        <f t="shared" si="14"/>
        <v>0</v>
      </c>
      <c r="E38" s="727">
        <f t="shared" si="14"/>
        <v>0</v>
      </c>
      <c r="F38" s="727">
        <f t="shared" si="14"/>
        <v>0</v>
      </c>
      <c r="G38" s="727">
        <f t="shared" si="14"/>
        <v>0</v>
      </c>
      <c r="H38" s="727">
        <f t="shared" si="14"/>
        <v>0</v>
      </c>
      <c r="I38" s="727">
        <f t="shared" si="14"/>
        <v>0</v>
      </c>
      <c r="J38" s="727">
        <f t="shared" si="14"/>
        <v>0</v>
      </c>
      <c r="K38" s="727">
        <f t="shared" si="14"/>
        <v>0</v>
      </c>
      <c r="L38" s="727">
        <f t="shared" si="14"/>
        <v>0</v>
      </c>
      <c r="M38" s="728">
        <f t="shared" si="14"/>
        <v>0</v>
      </c>
      <c r="N38" s="870"/>
    </row>
    <row r="39" spans="1:14" ht="15.75" customHeight="1">
      <c r="A39" s="260" t="s">
        <v>641</v>
      </c>
      <c r="B39" s="256"/>
      <c r="C39" s="131"/>
      <c r="D39" s="131"/>
      <c r="E39" s="131"/>
      <c r="F39" s="131"/>
      <c r="G39" s="131"/>
      <c r="H39" s="131"/>
      <c r="I39" s="131"/>
      <c r="J39" s="131"/>
      <c r="K39" s="131"/>
      <c r="L39" s="131"/>
      <c r="M39" s="132"/>
      <c r="N39" s="870"/>
    </row>
    <row r="40" spans="1:14" ht="11.25" customHeight="1">
      <c r="A40" s="262" t="s">
        <v>1217</v>
      </c>
      <c r="B40" s="256"/>
      <c r="C40" s="1174">
        <v>8732</v>
      </c>
      <c r="D40" s="1174"/>
      <c r="E40" s="1174"/>
      <c r="F40" s="638"/>
      <c r="G40" s="638"/>
      <c r="H40" s="638"/>
      <c r="I40" s="638"/>
      <c r="J40" s="949">
        <f t="shared" ref="J40:J46" si="15">SUM(E40:I40)</f>
        <v>0</v>
      </c>
      <c r="K40" s="949">
        <f t="shared" ref="K40:K46" si="16">IF(D40=0,C40+J40,D40+J40)</f>
        <v>8732</v>
      </c>
      <c r="L40" s="638">
        <v>8732</v>
      </c>
      <c r="M40" s="1130">
        <v>8732</v>
      </c>
      <c r="N40" s="870"/>
    </row>
    <row r="41" spans="1:14" ht="11.25" customHeight="1">
      <c r="A41" s="262" t="str">
        <f>$A$12</f>
        <v>Minimum Service Level and Above sub-total</v>
      </c>
      <c r="B41" s="256"/>
      <c r="C41" s="948">
        <f t="shared" ref="C41:I41" si="17">SUM(C40)</f>
        <v>8732</v>
      </c>
      <c r="D41" s="948">
        <f t="shared" si="17"/>
        <v>0</v>
      </c>
      <c r="E41" s="948">
        <f t="shared" si="17"/>
        <v>0</v>
      </c>
      <c r="F41" s="948">
        <f t="shared" si="17"/>
        <v>0</v>
      </c>
      <c r="G41" s="948">
        <f t="shared" si="17"/>
        <v>0</v>
      </c>
      <c r="H41" s="948">
        <f t="shared" si="17"/>
        <v>0</v>
      </c>
      <c r="I41" s="948">
        <f t="shared" si="17"/>
        <v>0</v>
      </c>
      <c r="J41" s="948">
        <f>SUM(E41:I41)</f>
        <v>0</v>
      </c>
      <c r="K41" s="948">
        <f t="shared" si="16"/>
        <v>8732</v>
      </c>
      <c r="L41" s="948">
        <f>SUM(L40)</f>
        <v>8732</v>
      </c>
      <c r="M41" s="954">
        <f>SUM(M40)</f>
        <v>8732</v>
      </c>
      <c r="N41" s="870"/>
    </row>
    <row r="42" spans="1:14" ht="11.25" customHeight="1">
      <c r="A42" s="262" t="s">
        <v>1218</v>
      </c>
      <c r="B42" s="256"/>
      <c r="C42" s="1173">
        <v>3500</v>
      </c>
      <c r="D42" s="1173"/>
      <c r="E42" s="1173"/>
      <c r="F42" s="635"/>
      <c r="G42" s="635"/>
      <c r="H42" s="635"/>
      <c r="I42" s="635"/>
      <c r="J42" s="948">
        <f t="shared" si="15"/>
        <v>0</v>
      </c>
      <c r="K42" s="948">
        <f t="shared" si="16"/>
        <v>3500</v>
      </c>
      <c r="L42" s="635">
        <v>4000</v>
      </c>
      <c r="M42" s="1129">
        <v>4000</v>
      </c>
      <c r="N42" s="870"/>
    </row>
    <row r="43" spans="1:14" ht="11.25" customHeight="1">
      <c r="A43" s="262" t="s">
        <v>1219</v>
      </c>
      <c r="B43" s="256"/>
      <c r="C43" s="1173">
        <v>96694</v>
      </c>
      <c r="D43" s="1173"/>
      <c r="E43" s="1173"/>
      <c r="F43" s="635"/>
      <c r="G43" s="635"/>
      <c r="H43" s="635"/>
      <c r="I43" s="635"/>
      <c r="J43" s="948">
        <f t="shared" si="15"/>
        <v>0</v>
      </c>
      <c r="K43" s="948">
        <f t="shared" si="16"/>
        <v>96694</v>
      </c>
      <c r="L43" s="635">
        <v>96194</v>
      </c>
      <c r="M43" s="1129">
        <v>96194</v>
      </c>
      <c r="N43" s="870"/>
    </row>
    <row r="44" spans="1:14" ht="11.25" customHeight="1">
      <c r="A44" s="262" t="s">
        <v>1220</v>
      </c>
      <c r="B44" s="256"/>
      <c r="C44" s="635"/>
      <c r="D44" s="635"/>
      <c r="E44" s="635"/>
      <c r="F44" s="635"/>
      <c r="G44" s="635"/>
      <c r="H44" s="635"/>
      <c r="I44" s="635"/>
      <c r="J44" s="948">
        <f t="shared" si="15"/>
        <v>0</v>
      </c>
      <c r="K44" s="948">
        <f t="shared" si="16"/>
        <v>0</v>
      </c>
      <c r="L44" s="635"/>
      <c r="M44" s="1129"/>
      <c r="N44" s="870"/>
    </row>
    <row r="45" spans="1:14" ht="11.25" customHeight="1">
      <c r="A45" s="262" t="s">
        <v>1221</v>
      </c>
      <c r="B45" s="256"/>
      <c r="C45" s="635"/>
      <c r="D45" s="635"/>
      <c r="E45" s="635"/>
      <c r="F45" s="635"/>
      <c r="G45" s="635"/>
      <c r="H45" s="635"/>
      <c r="I45" s="635"/>
      <c r="J45" s="948">
        <f t="shared" si="15"/>
        <v>0</v>
      </c>
      <c r="K45" s="948">
        <f t="shared" si="16"/>
        <v>0</v>
      </c>
      <c r="L45" s="635"/>
      <c r="M45" s="1129"/>
      <c r="N45" s="870"/>
    </row>
    <row r="46" spans="1:14" ht="11.25" customHeight="1">
      <c r="A46" s="262" t="s">
        <v>1222</v>
      </c>
      <c r="B46" s="256"/>
      <c r="C46" s="635"/>
      <c r="D46" s="635"/>
      <c r="E46" s="635"/>
      <c r="F46" s="635"/>
      <c r="G46" s="635"/>
      <c r="H46" s="635"/>
      <c r="I46" s="635"/>
      <c r="J46" s="948">
        <f t="shared" si="15"/>
        <v>0</v>
      </c>
      <c r="K46" s="948">
        <f t="shared" si="16"/>
        <v>0</v>
      </c>
      <c r="L46" s="635"/>
      <c r="M46" s="1129"/>
      <c r="N46" s="870"/>
    </row>
    <row r="47" spans="1:14" ht="11.25" customHeight="1">
      <c r="A47" s="860" t="str">
        <f>$A$16</f>
        <v>Below Minimum Servic Level sub-total</v>
      </c>
      <c r="B47" s="256"/>
      <c r="C47" s="950">
        <f t="shared" ref="C47:M47" si="18">SUM(C42:C46)</f>
        <v>100194</v>
      </c>
      <c r="D47" s="950">
        <f t="shared" si="18"/>
        <v>0</v>
      </c>
      <c r="E47" s="950">
        <f t="shared" si="18"/>
        <v>0</v>
      </c>
      <c r="F47" s="950">
        <f t="shared" si="18"/>
        <v>0</v>
      </c>
      <c r="G47" s="950">
        <f t="shared" si="18"/>
        <v>0</v>
      </c>
      <c r="H47" s="950">
        <f t="shared" si="18"/>
        <v>0</v>
      </c>
      <c r="I47" s="950">
        <f t="shared" si="18"/>
        <v>0</v>
      </c>
      <c r="J47" s="950">
        <f t="shared" si="18"/>
        <v>0</v>
      </c>
      <c r="K47" s="950">
        <f t="shared" si="18"/>
        <v>100194</v>
      </c>
      <c r="L47" s="950">
        <f t="shared" si="18"/>
        <v>100194</v>
      </c>
      <c r="M47" s="951">
        <f t="shared" si="18"/>
        <v>100194</v>
      </c>
      <c r="N47" s="870"/>
    </row>
    <row r="48" spans="1:14" ht="11.25" customHeight="1">
      <c r="A48" s="269" t="str">
        <f>$A$17</f>
        <v>Total number of households</v>
      </c>
      <c r="B48" s="256">
        <f>$B$17</f>
        <v>5</v>
      </c>
      <c r="C48" s="952">
        <f t="shared" ref="C48:I48" si="19">C41+C47</f>
        <v>108926</v>
      </c>
      <c r="D48" s="952">
        <f t="shared" si="19"/>
        <v>0</v>
      </c>
      <c r="E48" s="952">
        <f t="shared" si="19"/>
        <v>0</v>
      </c>
      <c r="F48" s="952">
        <f t="shared" si="19"/>
        <v>0</v>
      </c>
      <c r="G48" s="952">
        <f t="shared" si="19"/>
        <v>0</v>
      </c>
      <c r="H48" s="952">
        <f t="shared" si="19"/>
        <v>0</v>
      </c>
      <c r="I48" s="952">
        <f t="shared" si="19"/>
        <v>0</v>
      </c>
      <c r="J48" s="952">
        <f>J40+J47</f>
        <v>0</v>
      </c>
      <c r="K48" s="952">
        <f>K40+K47</f>
        <v>108926</v>
      </c>
      <c r="L48" s="952">
        <f>L41+L47</f>
        <v>108926</v>
      </c>
      <c r="M48" s="953">
        <f>M41+M47</f>
        <v>108926</v>
      </c>
      <c r="N48" s="870"/>
    </row>
    <row r="49" spans="1:14" ht="5.0999999999999996" customHeight="1">
      <c r="A49" s="273"/>
      <c r="B49" s="274"/>
      <c r="C49" s="272"/>
      <c r="D49" s="272"/>
      <c r="E49" s="272"/>
      <c r="F49" s="272"/>
      <c r="G49" s="272"/>
      <c r="H49" s="272"/>
      <c r="I49" s="272"/>
      <c r="J49" s="272"/>
      <c r="K49" s="272"/>
      <c r="L49" s="272"/>
      <c r="M49" s="275"/>
      <c r="N49" s="870"/>
    </row>
    <row r="50" spans="1:14" ht="15.75" customHeight="1">
      <c r="A50" s="255" t="s">
        <v>1223</v>
      </c>
      <c r="B50" s="256">
        <v>15</v>
      </c>
      <c r="C50" s="265"/>
      <c r="D50" s="131"/>
      <c r="E50" s="131"/>
      <c r="F50" s="131"/>
      <c r="G50" s="131"/>
      <c r="H50" s="131"/>
      <c r="I50" s="131"/>
      <c r="J50" s="131"/>
      <c r="K50" s="131"/>
      <c r="L50" s="131"/>
      <c r="M50" s="132"/>
      <c r="N50" s="870"/>
    </row>
    <row r="51" spans="1:14" ht="11.25" customHeight="1">
      <c r="A51" s="262" t="s">
        <v>1225</v>
      </c>
      <c r="B51" s="256"/>
      <c r="C51" s="1173">
        <v>20000</v>
      </c>
      <c r="D51" s="1173"/>
      <c r="E51" s="1173"/>
      <c r="F51" s="635"/>
      <c r="G51" s="635"/>
      <c r="H51" s="635"/>
      <c r="I51" s="635"/>
      <c r="J51" s="948">
        <f>SUM(E51:I51)</f>
        <v>0</v>
      </c>
      <c r="K51" s="948">
        <f>IF(D51=0,C51+J51,D51+J51)</f>
        <v>20000</v>
      </c>
      <c r="L51" s="1173">
        <v>25000</v>
      </c>
      <c r="M51" s="1173">
        <v>30000</v>
      </c>
      <c r="N51" s="870"/>
    </row>
    <row r="52" spans="1:14" ht="11.25" customHeight="1">
      <c r="A52" s="262" t="s">
        <v>1273</v>
      </c>
      <c r="B52" s="256"/>
      <c r="C52" s="1173">
        <v>20000</v>
      </c>
      <c r="D52" s="1173"/>
      <c r="E52" s="1173"/>
      <c r="F52" s="635"/>
      <c r="G52" s="635"/>
      <c r="H52" s="635"/>
      <c r="I52" s="635"/>
      <c r="J52" s="948">
        <f>SUM(E52:I52)</f>
        <v>0</v>
      </c>
      <c r="K52" s="948">
        <f>IF(D52=0,C52+J52,D52+J52)</f>
        <v>20000</v>
      </c>
      <c r="L52" s="1173">
        <v>25000</v>
      </c>
      <c r="M52" s="1173">
        <v>30000</v>
      </c>
      <c r="N52" s="870"/>
    </row>
    <row r="53" spans="1:14" ht="11.25" customHeight="1">
      <c r="A53" s="262" t="s">
        <v>1227</v>
      </c>
      <c r="B53" s="256"/>
      <c r="C53" s="1173">
        <v>8000</v>
      </c>
      <c r="D53" s="1173"/>
      <c r="E53" s="1173"/>
      <c r="F53" s="635"/>
      <c r="G53" s="635"/>
      <c r="H53" s="635"/>
      <c r="I53" s="635"/>
      <c r="J53" s="948">
        <f>SUM(E53:I53)</f>
        <v>0</v>
      </c>
      <c r="K53" s="948">
        <f>IF(D53=0,C53+J53,D53+J53)</f>
        <v>8000</v>
      </c>
      <c r="L53" s="1173">
        <v>10000</v>
      </c>
      <c r="M53" s="1173">
        <v>12000</v>
      </c>
      <c r="N53" s="870"/>
    </row>
    <row r="54" spans="1:14" ht="11.25" customHeight="1">
      <c r="A54" s="276" t="s">
        <v>1274</v>
      </c>
      <c r="B54" s="274"/>
      <c r="C54" s="1174">
        <v>2000</v>
      </c>
      <c r="D54" s="1174"/>
      <c r="E54" s="1174"/>
      <c r="F54" s="638"/>
      <c r="G54" s="638"/>
      <c r="H54" s="638"/>
      <c r="I54" s="638"/>
      <c r="J54" s="949">
        <f>SUM(E54:I54)</f>
        <v>0</v>
      </c>
      <c r="K54" s="949">
        <f>IF(D54=0,C54+J54,D54+J54)</f>
        <v>2000</v>
      </c>
      <c r="L54" s="1174">
        <v>3000</v>
      </c>
      <c r="M54" s="1174">
        <v>4000</v>
      </c>
      <c r="N54" s="870"/>
    </row>
    <row r="55" spans="1:14" ht="5.0999999999999996" customHeight="1">
      <c r="A55" s="277"/>
      <c r="B55" s="256"/>
      <c r="C55" s="131"/>
      <c r="D55" s="131"/>
      <c r="E55" s="131"/>
      <c r="F55" s="131"/>
      <c r="G55" s="131"/>
      <c r="H55" s="131"/>
      <c r="I55" s="131"/>
      <c r="J55" s="131"/>
      <c r="K55" s="131"/>
      <c r="L55" s="131"/>
      <c r="M55" s="132"/>
      <c r="N55" s="870"/>
    </row>
    <row r="56" spans="1:14" ht="11.25" customHeight="1">
      <c r="A56" s="255" t="s">
        <v>1224</v>
      </c>
      <c r="B56" s="256">
        <v>16</v>
      </c>
      <c r="C56" s="699"/>
      <c r="D56" s="700"/>
      <c r="E56" s="700"/>
      <c r="F56" s="700"/>
      <c r="G56" s="700"/>
      <c r="H56" s="700"/>
      <c r="I56" s="700"/>
      <c r="J56" s="131"/>
      <c r="K56" s="131"/>
      <c r="L56" s="700"/>
      <c r="M56" s="701"/>
      <c r="N56" s="870"/>
    </row>
    <row r="57" spans="1:14" ht="11.25" customHeight="1">
      <c r="A57" s="262" t="s">
        <v>1225</v>
      </c>
      <c r="B57" s="256"/>
      <c r="C57" s="1177">
        <v>60000</v>
      </c>
      <c r="D57" s="1176"/>
      <c r="E57" s="1176"/>
      <c r="F57" s="109"/>
      <c r="G57" s="109"/>
      <c r="H57" s="109"/>
      <c r="I57" s="109"/>
      <c r="J57" s="131">
        <f>SUM(E57:I57)</f>
        <v>0</v>
      </c>
      <c r="K57" s="131">
        <f>IF(D57=0,C57+J57,D57+J57)</f>
        <v>60000</v>
      </c>
      <c r="L57" s="1176">
        <v>60000</v>
      </c>
      <c r="M57" s="1176">
        <v>60000</v>
      </c>
      <c r="N57" s="870"/>
    </row>
    <row r="58" spans="1:14" ht="11.25" customHeight="1">
      <c r="A58" s="262" t="s">
        <v>1226</v>
      </c>
      <c r="B58" s="256"/>
      <c r="C58" s="1177">
        <v>12000</v>
      </c>
      <c r="D58" s="1176"/>
      <c r="E58" s="1176"/>
      <c r="F58" s="109"/>
      <c r="G58" s="109"/>
      <c r="H58" s="109"/>
      <c r="I58" s="109"/>
      <c r="J58" s="131">
        <f>SUM(E58:I58)</f>
        <v>0</v>
      </c>
      <c r="K58" s="131">
        <f>IF(D58=0,C58+J58,D58+J58)</f>
        <v>12000</v>
      </c>
      <c r="L58" s="1176">
        <v>12000</v>
      </c>
      <c r="M58" s="1176">
        <v>12000</v>
      </c>
      <c r="N58" s="870"/>
    </row>
    <row r="59" spans="1:14" ht="11.25" customHeight="1">
      <c r="A59" s="262" t="s">
        <v>1227</v>
      </c>
      <c r="B59" s="256"/>
      <c r="C59" s="1177">
        <v>216000</v>
      </c>
      <c r="D59" s="1176"/>
      <c r="E59" s="1176"/>
      <c r="F59" s="109"/>
      <c r="G59" s="109"/>
      <c r="H59" s="109"/>
      <c r="I59" s="109"/>
      <c r="J59" s="131">
        <f>SUM(E59:I59)</f>
        <v>0</v>
      </c>
      <c r="K59" s="131">
        <f>IF(D59=0,C59+J59,D59+J59)</f>
        <v>216000</v>
      </c>
      <c r="L59" s="1176">
        <v>220000</v>
      </c>
      <c r="M59" s="1176">
        <v>220000</v>
      </c>
      <c r="N59" s="870"/>
    </row>
    <row r="60" spans="1:14" ht="11.25" customHeight="1">
      <c r="A60" s="262" t="s">
        <v>1228</v>
      </c>
      <c r="B60" s="256"/>
      <c r="C60" s="1177">
        <v>123000</v>
      </c>
      <c r="D60" s="1176"/>
      <c r="E60" s="1176"/>
      <c r="F60" s="109"/>
      <c r="G60" s="109"/>
      <c r="H60" s="109"/>
      <c r="I60" s="109"/>
      <c r="J60" s="131">
        <f>SUM(E60:I60)</f>
        <v>0</v>
      </c>
      <c r="K60" s="131">
        <f>IF(D60=0,C60+J60,D60+J60)</f>
        <v>123000</v>
      </c>
      <c r="L60" s="1176">
        <v>123000</v>
      </c>
      <c r="M60" s="1176">
        <v>123000</v>
      </c>
      <c r="N60" s="870"/>
    </row>
    <row r="61" spans="1:14" ht="11.25" customHeight="1">
      <c r="A61" s="278" t="s">
        <v>1229</v>
      </c>
      <c r="B61" s="256"/>
      <c r="C61" s="947">
        <f t="shared" ref="C61:M61" si="20">SUM(C56:C60)</f>
        <v>411000</v>
      </c>
      <c r="D61" s="265">
        <f t="shared" si="20"/>
        <v>0</v>
      </c>
      <c r="E61" s="265">
        <f t="shared" si="20"/>
        <v>0</v>
      </c>
      <c r="F61" s="265">
        <f t="shared" si="20"/>
        <v>0</v>
      </c>
      <c r="G61" s="265">
        <f t="shared" si="20"/>
        <v>0</v>
      </c>
      <c r="H61" s="265">
        <f t="shared" si="20"/>
        <v>0</v>
      </c>
      <c r="I61" s="265">
        <f t="shared" si="20"/>
        <v>0</v>
      </c>
      <c r="J61" s="265">
        <f t="shared" si="20"/>
        <v>0</v>
      </c>
      <c r="K61" s="265">
        <f t="shared" si="20"/>
        <v>411000</v>
      </c>
      <c r="L61" s="265">
        <f t="shared" si="20"/>
        <v>415000</v>
      </c>
      <c r="M61" s="266">
        <f t="shared" si="20"/>
        <v>415000</v>
      </c>
      <c r="N61" s="870"/>
    </row>
    <row r="62" spans="1:14" ht="5.0999999999999996" customHeight="1">
      <c r="A62" s="279"/>
      <c r="B62" s="256"/>
      <c r="C62" s="131"/>
      <c r="D62" s="131"/>
      <c r="E62" s="131"/>
      <c r="F62" s="131"/>
      <c r="G62" s="131"/>
      <c r="H62" s="131"/>
      <c r="I62" s="131"/>
      <c r="J62" s="131"/>
      <c r="K62" s="131"/>
      <c r="L62" s="131"/>
      <c r="M62" s="132"/>
      <c r="N62" s="870"/>
    </row>
    <row r="63" spans="1:14" ht="11.25" customHeight="1">
      <c r="A63" s="255" t="s">
        <v>1230</v>
      </c>
      <c r="B63" s="280"/>
      <c r="C63" s="265"/>
      <c r="D63" s="265"/>
      <c r="E63" s="265"/>
      <c r="F63" s="265"/>
      <c r="G63" s="265"/>
      <c r="H63" s="265"/>
      <c r="I63" s="265"/>
      <c r="J63" s="265"/>
      <c r="K63" s="265"/>
      <c r="L63" s="265"/>
      <c r="M63" s="266"/>
      <c r="N63" s="870"/>
    </row>
    <row r="64" spans="1:14" ht="11.25" customHeight="1">
      <c r="A64" s="262" t="s">
        <v>1231</v>
      </c>
      <c r="B64" s="256"/>
      <c r="C64" s="1175">
        <v>15000</v>
      </c>
      <c r="D64" s="1173"/>
      <c r="E64" s="1173"/>
      <c r="F64" s="635"/>
      <c r="G64" s="635"/>
      <c r="H64" s="635"/>
      <c r="I64" s="635"/>
      <c r="J64" s="948">
        <f t="shared" ref="J64:J69" si="21">SUM(E64:I64)</f>
        <v>0</v>
      </c>
      <c r="K64" s="948">
        <f t="shared" ref="K64:K69" si="22">IF(D64=0,C64+J64,D64+J64)</f>
        <v>15000</v>
      </c>
      <c r="L64" s="1173">
        <v>15000</v>
      </c>
      <c r="M64" s="1173">
        <v>15000</v>
      </c>
      <c r="N64" s="870"/>
    </row>
    <row r="65" spans="1:14" ht="11.25" customHeight="1">
      <c r="A65" s="262" t="s">
        <v>1232</v>
      </c>
      <c r="B65" s="256"/>
      <c r="C65" s="1131">
        <v>6</v>
      </c>
      <c r="D65" s="1131"/>
      <c r="E65" s="1131"/>
      <c r="F65" s="1131"/>
      <c r="G65" s="635"/>
      <c r="H65" s="635"/>
      <c r="I65" s="635"/>
      <c r="J65" s="948">
        <f t="shared" si="21"/>
        <v>0</v>
      </c>
      <c r="K65" s="948">
        <f t="shared" si="22"/>
        <v>6</v>
      </c>
      <c r="L65" s="1131">
        <v>6</v>
      </c>
      <c r="M65" s="1131">
        <v>6</v>
      </c>
      <c r="N65" s="870"/>
    </row>
    <row r="66" spans="1:14" ht="11.25" customHeight="1">
      <c r="A66" s="262" t="s">
        <v>1233</v>
      </c>
      <c r="B66" s="256"/>
      <c r="C66" s="1131">
        <v>6</v>
      </c>
      <c r="D66" s="1131"/>
      <c r="E66" s="1131"/>
      <c r="F66" s="635"/>
      <c r="G66" s="635"/>
      <c r="H66" s="635"/>
      <c r="I66" s="635"/>
      <c r="J66" s="948">
        <f t="shared" si="21"/>
        <v>0</v>
      </c>
      <c r="K66" s="948">
        <f t="shared" si="22"/>
        <v>6</v>
      </c>
      <c r="L66" s="1131">
        <v>6</v>
      </c>
      <c r="M66" s="1131">
        <v>6</v>
      </c>
      <c r="N66" s="870"/>
    </row>
    <row r="67" spans="1:14" ht="11.25" customHeight="1">
      <c r="A67" s="262" t="s">
        <v>1234</v>
      </c>
      <c r="B67" s="256"/>
      <c r="C67" s="1131"/>
      <c r="D67" s="1131"/>
      <c r="E67" s="1131"/>
      <c r="F67" s="635"/>
      <c r="G67" s="635"/>
      <c r="H67" s="635"/>
      <c r="I67" s="635"/>
      <c r="J67" s="948">
        <f t="shared" si="21"/>
        <v>0</v>
      </c>
      <c r="K67" s="948">
        <f t="shared" si="22"/>
        <v>0</v>
      </c>
      <c r="L67" s="1131"/>
      <c r="M67" s="1131"/>
      <c r="N67" s="870"/>
    </row>
    <row r="68" spans="1:14" ht="11.25" customHeight="1">
      <c r="A68" s="262" t="s">
        <v>1235</v>
      </c>
      <c r="B68" s="256"/>
      <c r="C68" s="1131">
        <v>50</v>
      </c>
      <c r="D68" s="1131"/>
      <c r="E68" s="1131"/>
      <c r="F68" s="1131"/>
      <c r="G68" s="635"/>
      <c r="H68" s="635"/>
      <c r="I68" s="635"/>
      <c r="J68" s="948">
        <f t="shared" si="21"/>
        <v>0</v>
      </c>
      <c r="K68" s="948">
        <f t="shared" si="22"/>
        <v>50</v>
      </c>
      <c r="L68" s="1131">
        <v>50</v>
      </c>
      <c r="M68" s="1131">
        <v>50</v>
      </c>
      <c r="N68" s="870"/>
    </row>
    <row r="69" spans="1:14" ht="11.25" customHeight="1">
      <c r="A69" s="281" t="s">
        <v>1236</v>
      </c>
      <c r="B69" s="274"/>
      <c r="C69" s="1132"/>
      <c r="D69" s="1132"/>
      <c r="E69" s="1132"/>
      <c r="F69" s="638"/>
      <c r="G69" s="638"/>
      <c r="H69" s="638"/>
      <c r="I69" s="638"/>
      <c r="J69" s="949">
        <f t="shared" si="21"/>
        <v>0</v>
      </c>
      <c r="K69" s="949">
        <f t="shared" si="22"/>
        <v>0</v>
      </c>
      <c r="L69" s="1132"/>
      <c r="M69" s="1132"/>
      <c r="N69" s="870"/>
    </row>
    <row r="70" spans="1:14" ht="15.75" customHeight="1">
      <c r="A70" s="255" t="s">
        <v>1275</v>
      </c>
      <c r="B70" s="256">
        <v>17</v>
      </c>
      <c r="C70" s="131"/>
      <c r="D70" s="131"/>
      <c r="E70" s="131"/>
      <c r="F70" s="131"/>
      <c r="G70" s="131"/>
      <c r="H70" s="131"/>
      <c r="I70" s="131"/>
      <c r="J70" s="131"/>
      <c r="K70" s="131"/>
      <c r="L70" s="131"/>
      <c r="M70" s="132"/>
      <c r="N70" s="870"/>
    </row>
    <row r="71" spans="1:14" ht="11.25" customHeight="1">
      <c r="A71" s="262" t="s">
        <v>1276</v>
      </c>
      <c r="B71" s="184"/>
      <c r="C71" s="1179">
        <v>8400</v>
      </c>
      <c r="D71" s="1178"/>
      <c r="E71" s="1180"/>
      <c r="F71" s="109"/>
      <c r="G71" s="109"/>
      <c r="H71" s="109"/>
      <c r="I71" s="109"/>
      <c r="J71" s="131">
        <f t="shared" ref="J71:J79" si="23">SUM(E71:I71)</f>
        <v>0</v>
      </c>
      <c r="K71" s="131">
        <f t="shared" ref="K71:K79" si="24">IF(D71=0,C71+J71,D71+J71)</f>
        <v>8400</v>
      </c>
      <c r="L71" s="1178">
        <v>8400</v>
      </c>
      <c r="M71" s="1180">
        <v>8400</v>
      </c>
      <c r="N71" s="870"/>
    </row>
    <row r="72" spans="1:14" ht="11.25" customHeight="1">
      <c r="A72" s="262" t="s">
        <v>1237</v>
      </c>
      <c r="B72" s="256"/>
      <c r="C72" s="109"/>
      <c r="D72" s="109"/>
      <c r="E72" s="109"/>
      <c r="F72" s="109"/>
      <c r="G72" s="109"/>
      <c r="H72" s="109"/>
      <c r="I72" s="109"/>
      <c r="J72" s="131">
        <f t="shared" si="23"/>
        <v>0</v>
      </c>
      <c r="K72" s="131">
        <f t="shared" si="24"/>
        <v>0</v>
      </c>
      <c r="L72" s="109"/>
      <c r="M72" s="110"/>
      <c r="N72" s="870"/>
    </row>
    <row r="73" spans="1:14" ht="11.25" customHeight="1">
      <c r="A73" s="262" t="s">
        <v>670</v>
      </c>
      <c r="B73" s="256"/>
      <c r="C73" s="109"/>
      <c r="D73" s="109"/>
      <c r="E73" s="109"/>
      <c r="F73" s="109"/>
      <c r="G73" s="109"/>
      <c r="H73" s="109"/>
      <c r="I73" s="109"/>
      <c r="J73" s="131">
        <f t="shared" si="23"/>
        <v>0</v>
      </c>
      <c r="K73" s="131">
        <f t="shared" si="24"/>
        <v>0</v>
      </c>
      <c r="L73" s="109"/>
      <c r="M73" s="110"/>
      <c r="N73" s="870"/>
    </row>
    <row r="74" spans="1:14" ht="11.25" customHeight="1">
      <c r="A74" s="262" t="s">
        <v>1238</v>
      </c>
      <c r="B74" s="256"/>
      <c r="C74" s="109"/>
      <c r="D74" s="109"/>
      <c r="E74" s="109"/>
      <c r="F74" s="109"/>
      <c r="G74" s="109"/>
      <c r="H74" s="109"/>
      <c r="I74" s="109"/>
      <c r="J74" s="131">
        <f t="shared" si="23"/>
        <v>0</v>
      </c>
      <c r="K74" s="131">
        <f t="shared" si="24"/>
        <v>0</v>
      </c>
      <c r="L74" s="109"/>
      <c r="M74" s="110"/>
      <c r="N74" s="870"/>
    </row>
    <row r="75" spans="1:14" ht="11.25" customHeight="1">
      <c r="A75" s="262" t="s">
        <v>1239</v>
      </c>
      <c r="B75" s="256"/>
      <c r="C75" s="109"/>
      <c r="D75" s="109"/>
      <c r="E75" s="109"/>
      <c r="F75" s="109"/>
      <c r="G75" s="109"/>
      <c r="H75" s="109"/>
      <c r="I75" s="109"/>
      <c r="J75" s="131">
        <f t="shared" si="23"/>
        <v>0</v>
      </c>
      <c r="K75" s="131">
        <f t="shared" si="24"/>
        <v>0</v>
      </c>
      <c r="L75" s="109"/>
      <c r="M75" s="110"/>
      <c r="N75" s="870"/>
    </row>
    <row r="76" spans="1:14" ht="11.25" customHeight="1">
      <c r="A76" s="262" t="s">
        <v>1240</v>
      </c>
      <c r="B76" s="256"/>
      <c r="C76" s="109"/>
      <c r="D76" s="109"/>
      <c r="E76" s="109"/>
      <c r="F76" s="109"/>
      <c r="G76" s="109"/>
      <c r="H76" s="109"/>
      <c r="I76" s="109"/>
      <c r="J76" s="131">
        <f t="shared" si="23"/>
        <v>0</v>
      </c>
      <c r="K76" s="131">
        <f t="shared" si="24"/>
        <v>0</v>
      </c>
      <c r="L76" s="109"/>
      <c r="M76" s="110"/>
      <c r="N76" s="870"/>
    </row>
    <row r="77" spans="1:14" ht="11.25" customHeight="1">
      <c r="A77" s="262" t="s">
        <v>1277</v>
      </c>
      <c r="B77" s="256"/>
      <c r="C77" s="109"/>
      <c r="D77" s="109"/>
      <c r="E77" s="109"/>
      <c r="F77" s="109"/>
      <c r="G77" s="109"/>
      <c r="H77" s="109"/>
      <c r="I77" s="109"/>
      <c r="J77" s="131">
        <f t="shared" si="23"/>
        <v>0</v>
      </c>
      <c r="K77" s="131">
        <f t="shared" si="24"/>
        <v>0</v>
      </c>
      <c r="L77" s="109"/>
      <c r="M77" s="110"/>
      <c r="N77" s="870"/>
    </row>
    <row r="78" spans="1:14" ht="11.25" customHeight="1">
      <c r="A78" s="262" t="s">
        <v>1278</v>
      </c>
      <c r="B78" s="256">
        <v>6</v>
      </c>
      <c r="C78" s="109"/>
      <c r="D78" s="109"/>
      <c r="E78" s="109"/>
      <c r="F78" s="109"/>
      <c r="G78" s="109"/>
      <c r="H78" s="109"/>
      <c r="I78" s="109"/>
      <c r="J78" s="131">
        <f t="shared" si="23"/>
        <v>0</v>
      </c>
      <c r="K78" s="131">
        <f t="shared" si="24"/>
        <v>0</v>
      </c>
      <c r="L78" s="109"/>
      <c r="M78" s="110"/>
      <c r="N78" s="870"/>
    </row>
    <row r="79" spans="1:14" ht="11.25" customHeight="1">
      <c r="A79" s="262" t="s">
        <v>673</v>
      </c>
      <c r="B79" s="256"/>
      <c r="C79" s="109"/>
      <c r="D79" s="109"/>
      <c r="E79" s="109"/>
      <c r="F79" s="109"/>
      <c r="G79" s="109"/>
      <c r="H79" s="109"/>
      <c r="I79" s="109"/>
      <c r="J79" s="131">
        <f t="shared" si="23"/>
        <v>0</v>
      </c>
      <c r="K79" s="131">
        <f t="shared" si="24"/>
        <v>0</v>
      </c>
      <c r="L79" s="109"/>
      <c r="M79" s="110"/>
      <c r="N79" s="870"/>
    </row>
    <row r="80" spans="1:14">
      <c r="A80" s="282" t="s">
        <v>1279</v>
      </c>
      <c r="B80" s="283"/>
      <c r="C80" s="284">
        <f t="shared" ref="C80:M80" si="25">SUM(C71:C79)</f>
        <v>8400</v>
      </c>
      <c r="D80" s="284">
        <f t="shared" si="25"/>
        <v>0</v>
      </c>
      <c r="E80" s="284">
        <f t="shared" si="25"/>
        <v>0</v>
      </c>
      <c r="F80" s="284">
        <f t="shared" si="25"/>
        <v>0</v>
      </c>
      <c r="G80" s="284">
        <f t="shared" si="25"/>
        <v>0</v>
      </c>
      <c r="H80" s="284">
        <f t="shared" si="25"/>
        <v>0</v>
      </c>
      <c r="I80" s="284">
        <f t="shared" si="25"/>
        <v>0</v>
      </c>
      <c r="J80" s="284">
        <f t="shared" si="25"/>
        <v>0</v>
      </c>
      <c r="K80" s="284">
        <f t="shared" si="25"/>
        <v>8400</v>
      </c>
      <c r="L80" s="284">
        <f t="shared" si="25"/>
        <v>8400</v>
      </c>
      <c r="M80" s="708">
        <f t="shared" si="25"/>
        <v>8400</v>
      </c>
      <c r="N80" s="870"/>
    </row>
    <row r="81" spans="1:14" ht="11.25" customHeight="1">
      <c r="A81" s="285" t="str">
        <f>head27a</f>
        <v>References</v>
      </c>
      <c r="B81" s="184"/>
      <c r="N81" s="870"/>
    </row>
    <row r="82" spans="1:14" ht="11.25" customHeight="1">
      <c r="A82" s="286" t="s">
        <v>1241</v>
      </c>
      <c r="B82" s="184"/>
      <c r="N82" s="870"/>
    </row>
    <row r="83" spans="1:14" ht="11.25" customHeight="1">
      <c r="A83" s="287" t="s">
        <v>1242</v>
      </c>
      <c r="B83" s="288"/>
      <c r="C83" s="288"/>
      <c r="D83" s="288"/>
      <c r="E83" s="288"/>
      <c r="F83" s="288"/>
      <c r="G83" s="288"/>
      <c r="H83" s="288"/>
      <c r="I83" s="288"/>
      <c r="J83" s="288"/>
      <c r="K83" s="288"/>
      <c r="L83" s="288"/>
      <c r="M83" s="288"/>
    </row>
    <row r="84" spans="1:14" ht="11.25" customHeight="1">
      <c r="A84" s="158" t="s">
        <v>1243</v>
      </c>
      <c r="B84" s="288"/>
      <c r="C84" s="288"/>
      <c r="D84" s="288"/>
      <c r="E84" s="288"/>
      <c r="F84" s="288"/>
      <c r="G84" s="288"/>
      <c r="H84" s="288"/>
      <c r="I84" s="288"/>
      <c r="J84" s="288"/>
      <c r="K84" s="288"/>
      <c r="L84" s="288"/>
      <c r="M84" s="288"/>
    </row>
    <row r="85" spans="1:14" ht="11.25" customHeight="1">
      <c r="A85" s="158" t="s">
        <v>1244</v>
      </c>
      <c r="B85" s="158"/>
      <c r="C85" s="158"/>
      <c r="D85" s="158"/>
      <c r="E85" s="158"/>
      <c r="F85" s="158"/>
      <c r="G85" s="158"/>
      <c r="H85" s="158"/>
      <c r="I85" s="158"/>
      <c r="J85" s="158"/>
      <c r="K85" s="158"/>
      <c r="L85" s="158"/>
      <c r="M85" s="158"/>
    </row>
    <row r="86" spans="1:14" ht="11.25" customHeight="1">
      <c r="A86" s="158" t="s">
        <v>1245</v>
      </c>
      <c r="B86" s="158"/>
      <c r="C86" s="158"/>
      <c r="D86" s="158"/>
      <c r="E86" s="158"/>
      <c r="F86" s="158"/>
      <c r="G86" s="158"/>
      <c r="H86" s="158"/>
      <c r="I86" s="158"/>
      <c r="J86" s="158"/>
      <c r="K86" s="158"/>
      <c r="L86" s="158"/>
      <c r="M86" s="158"/>
    </row>
    <row r="87" spans="1:14" ht="11.25" customHeight="1">
      <c r="A87" s="158" t="s">
        <v>1246</v>
      </c>
      <c r="B87" s="158"/>
      <c r="C87" s="158"/>
      <c r="D87" s="158"/>
      <c r="E87" s="158"/>
      <c r="F87" s="158"/>
      <c r="G87" s="158"/>
      <c r="H87" s="158"/>
      <c r="I87" s="158"/>
      <c r="J87" s="158"/>
      <c r="K87" s="158"/>
      <c r="L87" s="158"/>
      <c r="M87" s="158"/>
    </row>
    <row r="88" spans="1:14" s="5" customFormat="1" ht="12.75" customHeight="1">
      <c r="A88" s="1324" t="s">
        <v>1104</v>
      </c>
      <c r="B88" s="1324"/>
      <c r="C88" s="1324"/>
      <c r="D88" s="1324"/>
      <c r="E88" s="1324"/>
      <c r="F88" s="1324"/>
      <c r="G88" s="1324"/>
      <c r="H88" s="1324"/>
      <c r="I88" s="1324"/>
      <c r="J88" s="1324"/>
      <c r="K88" s="1324"/>
      <c r="L88" s="1324"/>
      <c r="M88" s="1324"/>
    </row>
    <row r="89" spans="1:14" s="5" customFormat="1" ht="24.95" customHeight="1">
      <c r="A89" s="1324" t="s">
        <v>1196</v>
      </c>
      <c r="B89" s="1324"/>
      <c r="C89" s="1324"/>
      <c r="D89" s="1324"/>
      <c r="E89" s="1324"/>
      <c r="F89" s="1324"/>
      <c r="G89" s="1324"/>
      <c r="H89" s="1324"/>
      <c r="I89" s="1324"/>
      <c r="J89" s="1324"/>
      <c r="K89" s="1324"/>
      <c r="L89" s="1324"/>
      <c r="M89" s="1324"/>
    </row>
    <row r="90" spans="1:14" s="5" customFormat="1" ht="12.75" customHeight="1">
      <c r="A90" s="1318" t="s">
        <v>1197</v>
      </c>
      <c r="B90" s="1318"/>
      <c r="C90" s="1318"/>
      <c r="D90" s="1318"/>
      <c r="E90" s="1318"/>
      <c r="F90" s="1318"/>
      <c r="G90" s="1318"/>
      <c r="H90" s="1318"/>
      <c r="I90" s="1318"/>
      <c r="J90" s="1318"/>
      <c r="K90" s="1318"/>
      <c r="L90" s="1318"/>
      <c r="M90" s="1318"/>
    </row>
    <row r="91" spans="1:14" s="5" customFormat="1" ht="12.75" customHeight="1">
      <c r="A91" s="1318" t="s">
        <v>1198</v>
      </c>
      <c r="B91" s="1318"/>
      <c r="C91" s="1318"/>
      <c r="D91" s="1318"/>
      <c r="E91" s="1318"/>
      <c r="F91" s="1318"/>
      <c r="G91" s="1318"/>
      <c r="H91" s="1318"/>
      <c r="I91" s="1318"/>
      <c r="J91" s="1318"/>
      <c r="K91" s="1318"/>
      <c r="L91" s="1318"/>
      <c r="M91" s="1318"/>
    </row>
    <row r="92" spans="1:14" s="5" customFormat="1" ht="12.75" customHeight="1">
      <c r="A92" s="99" t="s">
        <v>1199</v>
      </c>
      <c r="B92" s="93"/>
      <c r="C92" s="96"/>
      <c r="D92" s="96"/>
      <c r="E92" s="96"/>
      <c r="F92" s="96"/>
      <c r="G92" s="96"/>
      <c r="H92" s="96"/>
      <c r="I92" s="96"/>
      <c r="J92" s="96"/>
      <c r="K92" s="96"/>
      <c r="L92" s="96"/>
      <c r="M92" s="96"/>
    </row>
    <row r="93" spans="1:14" s="5" customFormat="1" ht="27" customHeight="1">
      <c r="A93" s="1318" t="s">
        <v>1200</v>
      </c>
      <c r="B93" s="1318"/>
      <c r="C93" s="1318"/>
      <c r="D93" s="1318"/>
      <c r="E93" s="1318"/>
      <c r="F93" s="1318"/>
      <c r="G93" s="1318"/>
      <c r="H93" s="1318"/>
      <c r="I93" s="1318"/>
      <c r="J93" s="1318"/>
      <c r="K93" s="1318"/>
      <c r="L93" s="1318"/>
      <c r="M93" s="1318"/>
    </row>
    <row r="94" spans="1:14" s="5" customFormat="1" ht="12.75" customHeight="1">
      <c r="A94" s="99" t="s">
        <v>1162</v>
      </c>
      <c r="B94" s="93"/>
      <c r="C94" s="96"/>
      <c r="D94" s="96"/>
      <c r="E94" s="96"/>
      <c r="F94" s="96"/>
      <c r="G94" s="96"/>
      <c r="H94" s="96"/>
      <c r="I94" s="96"/>
      <c r="J94" s="96"/>
      <c r="K94" s="96"/>
      <c r="L94" s="96"/>
      <c r="M94" s="96"/>
    </row>
    <row r="95" spans="1:14" s="5" customFormat="1" ht="12.75" customHeight="1">
      <c r="A95" s="1318" t="s">
        <v>1163</v>
      </c>
      <c r="B95" s="1318"/>
      <c r="C95" s="1318"/>
      <c r="D95" s="1318"/>
      <c r="E95" s="1318"/>
      <c r="F95" s="1318"/>
      <c r="G95" s="1318"/>
      <c r="H95" s="1318"/>
      <c r="I95" s="1318"/>
      <c r="J95" s="1318"/>
      <c r="K95" s="1318"/>
      <c r="L95" s="1318"/>
      <c r="M95" s="1318"/>
    </row>
    <row r="96" spans="1:14" ht="11.25" customHeight="1">
      <c r="A96" s="861" t="s">
        <v>1247</v>
      </c>
      <c r="B96" s="225"/>
      <c r="C96" s="225"/>
      <c r="D96" s="225"/>
      <c r="E96" s="225"/>
      <c r="F96" s="225"/>
      <c r="G96" s="225"/>
      <c r="H96" s="225"/>
    </row>
    <row r="97" spans="1:8" ht="11.25" customHeight="1">
      <c r="A97" s="861" t="s">
        <v>1297</v>
      </c>
      <c r="B97" s="225"/>
      <c r="C97" s="225"/>
      <c r="D97" s="225"/>
      <c r="E97" s="225"/>
      <c r="F97" s="225"/>
      <c r="G97" s="225"/>
      <c r="H97" s="225"/>
    </row>
    <row r="98" spans="1:8" ht="11.25" customHeight="1">
      <c r="A98" s="861" t="s">
        <v>1298</v>
      </c>
      <c r="B98" s="225"/>
      <c r="C98" s="225"/>
      <c r="D98" s="225"/>
      <c r="E98" s="225"/>
      <c r="F98" s="225"/>
      <c r="G98" s="225"/>
      <c r="H98" s="225"/>
    </row>
    <row r="99" spans="1:8" ht="11.25" customHeight="1">
      <c r="A99" s="225"/>
      <c r="B99" s="225"/>
      <c r="C99" s="225"/>
      <c r="D99" s="225"/>
      <c r="E99" s="225"/>
      <c r="F99" s="225"/>
      <c r="G99" s="225"/>
      <c r="H99" s="225"/>
    </row>
    <row r="100" spans="1:8" ht="11.25" customHeight="1">
      <c r="B100" s="184"/>
    </row>
    <row r="101" spans="1:8" ht="11.25" customHeight="1">
      <c r="B101" s="184"/>
    </row>
    <row r="102" spans="1:8" ht="11.25" customHeight="1">
      <c r="B102" s="184"/>
    </row>
    <row r="103" spans="1:8" ht="11.25" customHeight="1">
      <c r="B103" s="184"/>
    </row>
    <row r="104" spans="1:8" ht="11.25" customHeight="1">
      <c r="B104" s="184"/>
    </row>
    <row r="105" spans="1:8" ht="11.25" customHeight="1">
      <c r="B105" s="184"/>
    </row>
    <row r="106" spans="1:8" ht="11.25" customHeight="1">
      <c r="B106" s="184"/>
    </row>
    <row r="107" spans="1:8" ht="11.25" customHeight="1">
      <c r="B107" s="184"/>
    </row>
    <row r="108" spans="1:8" ht="11.25" customHeight="1">
      <c r="B108" s="184"/>
    </row>
    <row r="109" spans="1:8" ht="11.25" customHeight="1">
      <c r="B109" s="184"/>
    </row>
    <row r="110" spans="1:8" ht="11.25" customHeight="1">
      <c r="B110" s="184"/>
    </row>
    <row r="111" spans="1:8" ht="11.25" customHeight="1">
      <c r="B111" s="184"/>
    </row>
    <row r="112" spans="1:8" ht="11.25" customHeight="1">
      <c r="B112" s="184"/>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mergeCells count="9">
    <mergeCell ref="A95:M95"/>
    <mergeCell ref="A93:M93"/>
    <mergeCell ref="A2:A5"/>
    <mergeCell ref="B2:B5"/>
    <mergeCell ref="C2:K2"/>
    <mergeCell ref="A89:M89"/>
    <mergeCell ref="A88:M88"/>
    <mergeCell ref="A90:M90"/>
    <mergeCell ref="A91:M91"/>
  </mergeCells>
  <phoneticPr fontId="17"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61" enableFormatConditionsCalculation="0">
    <tabColor indexed="46"/>
  </sheetPr>
  <dimension ref="D2:Y36"/>
  <sheetViews>
    <sheetView showGridLines="0" topLeftCell="A10" workbookViewId="0">
      <selection activeCell="M9" sqref="M9"/>
    </sheetView>
  </sheetViews>
  <sheetFormatPr defaultRowHeight="12.75"/>
  <cols>
    <col min="23" max="23" width="19.7109375" style="695" customWidth="1"/>
    <col min="24" max="25" width="9.140625" style="695"/>
  </cols>
  <sheetData>
    <row r="2" spans="4:24">
      <c r="D2">
        <v>2020</v>
      </c>
    </row>
    <row r="4" spans="4:24">
      <c r="X4" s="722" t="s">
        <v>259</v>
      </c>
    </row>
    <row r="5" spans="4:24">
      <c r="X5" s="722" t="s">
        <v>582</v>
      </c>
    </row>
    <row r="7" spans="4:24">
      <c r="W7" s="722" t="s">
        <v>77</v>
      </c>
      <c r="X7" s="722" t="s">
        <v>76</v>
      </c>
    </row>
    <row r="8" spans="4:24">
      <c r="X8" s="722" t="s">
        <v>78</v>
      </c>
    </row>
    <row r="10" spans="4:24">
      <c r="W10" s="722" t="s">
        <v>26</v>
      </c>
      <c r="X10" s="698" t="s">
        <v>1996</v>
      </c>
    </row>
    <row r="19" spans="23:24" ht="15.75">
      <c r="W19" s="722" t="s">
        <v>79</v>
      </c>
      <c r="X19" s="845">
        <v>2008</v>
      </c>
    </row>
    <row r="20" spans="23:24" ht="15.75">
      <c r="X20" s="845">
        <v>2009</v>
      </c>
    </row>
    <row r="21" spans="23:24" ht="15.75">
      <c r="X21" s="845">
        <v>2010</v>
      </c>
    </row>
    <row r="22" spans="23:24" ht="15.75">
      <c r="X22" s="845">
        <v>2011</v>
      </c>
    </row>
    <row r="23" spans="23:24" ht="15.75">
      <c r="X23" s="845">
        <v>2012</v>
      </c>
    </row>
    <row r="24" spans="23:24" ht="15.75">
      <c r="X24" s="845">
        <v>2013</v>
      </c>
    </row>
    <row r="25" spans="23:24" ht="15.75">
      <c r="X25" s="845">
        <v>2014</v>
      </c>
    </row>
    <row r="26" spans="23:24" ht="15.75">
      <c r="X26" s="845">
        <v>2017</v>
      </c>
    </row>
    <row r="27" spans="23:24" ht="15.75">
      <c r="X27" s="845">
        <v>2018</v>
      </c>
    </row>
    <row r="28" spans="23:24" ht="15.75">
      <c r="X28" s="845">
        <v>2019</v>
      </c>
    </row>
    <row r="29" spans="23:24" ht="15.75">
      <c r="X29" s="845">
        <v>2020</v>
      </c>
    </row>
    <row r="30" spans="23:24" ht="15.75">
      <c r="X30" s="845">
        <v>2021</v>
      </c>
    </row>
    <row r="31" spans="23:24" ht="15.75">
      <c r="X31" s="845">
        <v>2022</v>
      </c>
    </row>
    <row r="32" spans="23:24">
      <c r="X32" s="843"/>
    </row>
    <row r="33" spans="23:24">
      <c r="W33" s="722" t="s">
        <v>80</v>
      </c>
      <c r="X33" s="843">
        <v>6</v>
      </c>
    </row>
    <row r="34" spans="23:24">
      <c r="W34" s="722" t="s">
        <v>81</v>
      </c>
      <c r="X34" s="844">
        <f>INDEX(X19:X31,X33,1)</f>
        <v>2013</v>
      </c>
    </row>
    <row r="36" spans="23:24">
      <c r="W36" s="722" t="s">
        <v>82</v>
      </c>
      <c r="X36" s="723" t="str">
        <f>MTREF&amp;"/"&amp;RIGHT(MTREF,2)+1</f>
        <v>2013/14</v>
      </c>
    </row>
  </sheetData>
  <phoneticPr fontId="17" type="noConversion"/>
  <pageMargins left="0.75" right="0.75" top="1" bottom="1" header="0.5" footer="0.5"/>
  <pageSetup orientation="portrait" horizontalDpi="200" verticalDpi="200" r:id="rId1"/>
  <headerFooter alignWithMargins="0"/>
  <drawing r:id="rId2"/>
  <legacyDrawing r:id="rId3"/>
  <controls>
    <control shapeId="13334" r:id="rId4" name="TextBox3"/>
    <control shapeId="13335" r:id="rId5" name="TextBox4"/>
    <control shapeId="13336" r:id="rId6" name="TextBox5"/>
    <control shapeId="13337" r:id="rId7" name="TextBox6"/>
    <control shapeId="13338" r:id="rId8" name="ToggleReferenceColumns"/>
    <control shapeId="13339" r:id="rId9" name="TogglePreAuditColums"/>
    <control shapeId="13340" r:id="rId10" name="ToggleHiddenColumns"/>
    <control shapeId="13342" r:id="rId11" name="DateOfAdjustment"/>
  </controls>
</worksheet>
</file>

<file path=xl/worksheets/sheet20.xml><?xml version="1.0" encoding="utf-8"?>
<worksheet xmlns="http://schemas.openxmlformats.org/spreadsheetml/2006/main" xmlns:r="http://schemas.openxmlformats.org/officeDocument/2006/relationships">
  <sheetPr codeName="Sheet91" enableFormatConditionsCalculation="0">
    <tabColor indexed="42"/>
    <pageSetUpPr fitToPage="1"/>
  </sheetPr>
  <dimension ref="A1:N219"/>
  <sheetViews>
    <sheetView showGridLines="0" workbookViewId="0">
      <pane xSplit="2" ySplit="5" topLeftCell="C116" activePane="bottomRight" state="frozen"/>
      <selection activeCell="M17" sqref="M17:M63"/>
      <selection pane="topRight" activeCell="M17" sqref="M17:M63"/>
      <selection pane="bottomLeft" activeCell="M17" sqref="M17:M63"/>
      <selection pane="bottomRight" activeCell="M103" sqref="M103"/>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"&amp;ADJB1&amp;" - "&amp;Date</f>
        <v>LIM333 Greater Tzaneen - Supporting Table SB1 Consolidated Supporting detail to 'Budgeted Financial Performance' - 26 FEBRUARY 2014</v>
      </c>
      <c r="B1" s="5"/>
      <c r="C1" s="58"/>
    </row>
    <row r="2" spans="1:14" ht="38.25">
      <c r="A2" s="1327" t="str">
        <f>desc</f>
        <v>Description</v>
      </c>
      <c r="B2" s="1355" t="str">
        <f>head27</f>
        <v>Ref</v>
      </c>
      <c r="C2" s="1320" t="str">
        <f>Head2</f>
        <v>Budget Year 2013/14</v>
      </c>
      <c r="D2" s="1320"/>
      <c r="E2" s="1320"/>
      <c r="F2" s="1320"/>
      <c r="G2" s="1320"/>
      <c r="H2" s="1320"/>
      <c r="I2" s="1320"/>
      <c r="J2" s="1320"/>
      <c r="K2" s="1320"/>
      <c r="L2" s="103" t="str">
        <f>Head10</f>
        <v>Budget Year +1 2014/15</v>
      </c>
      <c r="M2" s="61" t="str">
        <f>Head11</f>
        <v>Budget Year +2 2015/16</v>
      </c>
    </row>
    <row r="3" spans="1:14" ht="25.5">
      <c r="A3" s="1328"/>
      <c r="B3" s="135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8"/>
      <c r="B4" s="1356"/>
      <c r="C4" s="65"/>
      <c r="D4" s="15">
        <v>6</v>
      </c>
      <c r="E4" s="15">
        <v>7</v>
      </c>
      <c r="F4" s="15">
        <v>8</v>
      </c>
      <c r="G4" s="15">
        <v>9</v>
      </c>
      <c r="H4" s="15">
        <v>10</v>
      </c>
      <c r="I4" s="15">
        <v>11</v>
      </c>
      <c r="J4" s="15">
        <v>12</v>
      </c>
      <c r="K4" s="15">
        <v>13</v>
      </c>
      <c r="L4" s="15"/>
      <c r="M4" s="17"/>
    </row>
    <row r="5" spans="1:14">
      <c r="A5" s="66" t="s">
        <v>643</v>
      </c>
      <c r="B5" s="69"/>
      <c r="C5" s="67" t="s">
        <v>583</v>
      </c>
      <c r="D5" s="68" t="s">
        <v>584</v>
      </c>
      <c r="E5" s="68" t="s">
        <v>585</v>
      </c>
      <c r="F5" s="69" t="s">
        <v>586</v>
      </c>
      <c r="G5" s="69" t="s">
        <v>587</v>
      </c>
      <c r="H5" s="69" t="s">
        <v>588</v>
      </c>
      <c r="I5" s="70" t="s">
        <v>589</v>
      </c>
      <c r="J5" s="70" t="s">
        <v>590</v>
      </c>
      <c r="K5" s="70" t="s">
        <v>591</v>
      </c>
      <c r="L5" s="70"/>
      <c r="M5" s="71"/>
    </row>
    <row r="6" spans="1:14" ht="12.75" customHeight="1">
      <c r="A6" s="125" t="s">
        <v>1299</v>
      </c>
      <c r="B6" s="289"/>
      <c r="C6" s="74"/>
      <c r="D6" s="75"/>
      <c r="E6" s="75"/>
      <c r="F6" s="75"/>
      <c r="G6" s="75"/>
      <c r="H6" s="75"/>
      <c r="I6" s="75"/>
      <c r="J6" s="75"/>
      <c r="K6" s="75"/>
      <c r="L6" s="75"/>
      <c r="M6" s="76"/>
    </row>
    <row r="7" spans="1:14" ht="12.75" customHeight="1">
      <c r="A7" s="52" t="s">
        <v>593</v>
      </c>
      <c r="B7" s="289"/>
      <c r="C7" s="74"/>
      <c r="D7" s="75"/>
      <c r="E7" s="75"/>
      <c r="F7" s="75"/>
      <c r="G7" s="75"/>
      <c r="H7" s="75"/>
      <c r="I7" s="75"/>
      <c r="J7" s="75"/>
      <c r="K7" s="75"/>
      <c r="L7" s="75"/>
      <c r="M7" s="76"/>
      <c r="N7" s="127"/>
    </row>
    <row r="8" spans="1:14" ht="12.75" customHeight="1">
      <c r="A8" s="55" t="s">
        <v>1300</v>
      </c>
      <c r="B8" s="289"/>
      <c r="C8" s="129">
        <v>60260000</v>
      </c>
      <c r="D8" s="109"/>
      <c r="E8" s="109"/>
      <c r="F8" s="109"/>
      <c r="G8" s="109"/>
      <c r="H8" s="109"/>
      <c r="I8" s="109"/>
      <c r="J8" s="75">
        <f>SUM(E8:I8)</f>
        <v>0</v>
      </c>
      <c r="K8" s="75">
        <f>IF(D8=0,C8+J8,D8+J8)</f>
        <v>60260000</v>
      </c>
      <c r="L8" s="109">
        <v>63212740</v>
      </c>
      <c r="M8" s="109">
        <v>66310164</v>
      </c>
      <c r="N8" s="127"/>
    </row>
    <row r="9" spans="1:14" ht="12.75" customHeight="1">
      <c r="A9" s="859" t="s">
        <v>1301</v>
      </c>
      <c r="B9" s="289"/>
      <c r="C9" s="129">
        <v>8800000</v>
      </c>
      <c r="D9" s="109"/>
      <c r="E9" s="109"/>
      <c r="F9" s="109"/>
      <c r="G9" s="109"/>
      <c r="H9" s="109"/>
      <c r="I9" s="109"/>
      <c r="J9" s="75">
        <f>SUM(E9:I9)</f>
        <v>0</v>
      </c>
      <c r="K9" s="75">
        <f>IF(D9=0,C9+J9,D9+J9)</f>
        <v>8800000</v>
      </c>
      <c r="L9" s="109">
        <v>9231200</v>
      </c>
      <c r="M9" s="109">
        <v>9683529</v>
      </c>
      <c r="N9" s="127"/>
    </row>
    <row r="10" spans="1:14" ht="12.75" customHeight="1">
      <c r="A10" s="165" t="s">
        <v>1302</v>
      </c>
      <c r="B10" s="289"/>
      <c r="C10" s="80">
        <f>C8-C9</f>
        <v>51460000</v>
      </c>
      <c r="D10" s="81">
        <f t="shared" ref="D10:M10" si="0">D8-D9</f>
        <v>0</v>
      </c>
      <c r="E10" s="81">
        <f t="shared" si="0"/>
        <v>0</v>
      </c>
      <c r="F10" s="81">
        <f t="shared" si="0"/>
        <v>0</v>
      </c>
      <c r="G10" s="81">
        <f t="shared" si="0"/>
        <v>0</v>
      </c>
      <c r="H10" s="81">
        <f t="shared" si="0"/>
        <v>0</v>
      </c>
      <c r="I10" s="81">
        <f t="shared" si="0"/>
        <v>0</v>
      </c>
      <c r="J10" s="81">
        <f t="shared" si="0"/>
        <v>0</v>
      </c>
      <c r="K10" s="81">
        <f t="shared" si="0"/>
        <v>51460000</v>
      </c>
      <c r="L10" s="81">
        <f t="shared" si="0"/>
        <v>53981540</v>
      </c>
      <c r="M10" s="82">
        <f t="shared" si="0"/>
        <v>56626635</v>
      </c>
      <c r="N10" s="127"/>
    </row>
    <row r="11" spans="1:14" ht="4.5" customHeight="1">
      <c r="A11" s="30"/>
      <c r="B11" s="289"/>
      <c r="C11" s="74"/>
      <c r="D11" s="75"/>
      <c r="E11" s="75"/>
      <c r="F11" s="75"/>
      <c r="G11" s="75"/>
      <c r="H11" s="75"/>
      <c r="I11" s="75"/>
      <c r="J11" s="75"/>
      <c r="K11" s="75"/>
      <c r="L11" s="75"/>
      <c r="M11" s="76"/>
      <c r="N11" s="127"/>
    </row>
    <row r="12" spans="1:14" ht="12.75" customHeight="1">
      <c r="A12" s="52" t="s">
        <v>686</v>
      </c>
      <c r="B12" s="289"/>
      <c r="C12" s="74"/>
      <c r="D12" s="75"/>
      <c r="E12" s="75"/>
      <c r="F12" s="75"/>
      <c r="G12" s="75"/>
      <c r="H12" s="75"/>
      <c r="I12" s="75"/>
      <c r="J12" s="75"/>
      <c r="K12" s="75"/>
      <c r="L12" s="75"/>
      <c r="M12" s="76"/>
      <c r="N12" s="127"/>
    </row>
    <row r="13" spans="1:14" ht="12.75" customHeight="1">
      <c r="A13" s="55" t="s">
        <v>1303</v>
      </c>
      <c r="B13" s="289"/>
      <c r="C13" s="129">
        <v>379524484</v>
      </c>
      <c r="D13" s="109"/>
      <c r="E13" s="109"/>
      <c r="F13" s="109"/>
      <c r="G13" s="109"/>
      <c r="H13" s="109"/>
      <c r="I13" s="109"/>
      <c r="J13" s="75">
        <f>SUM(E13:I13)</f>
        <v>0</v>
      </c>
      <c r="K13" s="75">
        <f>IF(D13=0,C13+J13,D13+J13)</f>
        <v>379524484</v>
      </c>
      <c r="L13" s="109">
        <v>398121183.69999999</v>
      </c>
      <c r="M13" s="109">
        <v>417629121.69999999</v>
      </c>
      <c r="N13" s="127"/>
    </row>
    <row r="14" spans="1:14" ht="12.75" customHeight="1">
      <c r="A14" s="859" t="s">
        <v>1301</v>
      </c>
      <c r="B14" s="289"/>
      <c r="C14" s="129"/>
      <c r="D14" s="109"/>
      <c r="E14" s="109"/>
      <c r="F14" s="109"/>
      <c r="G14" s="109"/>
      <c r="H14" s="109"/>
      <c r="I14" s="109"/>
      <c r="J14" s="75">
        <f>SUM(E14:I14)</f>
        <v>0</v>
      </c>
      <c r="K14" s="75">
        <f>IF(D14=0,C14+J14,D14+J14)</f>
        <v>0</v>
      </c>
      <c r="L14" s="109"/>
      <c r="M14" s="110"/>
      <c r="N14" s="127"/>
    </row>
    <row r="15" spans="1:14" ht="12.75" customHeight="1">
      <c r="A15" s="165" t="s">
        <v>1304</v>
      </c>
      <c r="B15" s="289"/>
      <c r="C15" s="80">
        <f>C13-C14</f>
        <v>379524484</v>
      </c>
      <c r="D15" s="81">
        <f t="shared" ref="D15:M15" si="1">D13-D14</f>
        <v>0</v>
      </c>
      <c r="E15" s="81">
        <f t="shared" si="1"/>
        <v>0</v>
      </c>
      <c r="F15" s="81">
        <f t="shared" si="1"/>
        <v>0</v>
      </c>
      <c r="G15" s="81">
        <f t="shared" si="1"/>
        <v>0</v>
      </c>
      <c r="H15" s="81">
        <f t="shared" si="1"/>
        <v>0</v>
      </c>
      <c r="I15" s="81">
        <f t="shared" si="1"/>
        <v>0</v>
      </c>
      <c r="J15" s="81">
        <f t="shared" si="1"/>
        <v>0</v>
      </c>
      <c r="K15" s="81">
        <f t="shared" si="1"/>
        <v>379524484</v>
      </c>
      <c r="L15" s="81">
        <f t="shared" si="1"/>
        <v>398121183.69999999</v>
      </c>
      <c r="M15" s="82">
        <f t="shared" si="1"/>
        <v>417629121.69999999</v>
      </c>
      <c r="N15" s="127"/>
    </row>
    <row r="16" spans="1:14" ht="5.25" customHeight="1">
      <c r="B16" s="289"/>
      <c r="C16" s="74"/>
      <c r="D16" s="75"/>
      <c r="E16" s="75"/>
      <c r="F16" s="75"/>
      <c r="G16" s="75"/>
      <c r="H16" s="75"/>
      <c r="I16" s="75"/>
      <c r="J16" s="75"/>
      <c r="K16" s="75"/>
      <c r="L16" s="75"/>
      <c r="M16" s="76"/>
      <c r="N16" s="127"/>
    </row>
    <row r="17" spans="1:14" ht="12.75" customHeight="1">
      <c r="A17" s="290" t="s">
        <v>687</v>
      </c>
      <c r="B17" s="289"/>
      <c r="C17" s="74"/>
      <c r="D17" s="75"/>
      <c r="E17" s="75"/>
      <c r="F17" s="75"/>
      <c r="G17" s="75"/>
      <c r="H17" s="75"/>
      <c r="I17" s="75"/>
      <c r="J17" s="75"/>
      <c r="K17" s="75"/>
      <c r="L17" s="75"/>
      <c r="M17" s="76"/>
      <c r="N17" s="127"/>
    </row>
    <row r="18" spans="1:14" ht="12.75" customHeight="1">
      <c r="A18" s="55" t="s">
        <v>1305</v>
      </c>
      <c r="B18" s="289"/>
      <c r="C18" s="129"/>
      <c r="D18" s="109"/>
      <c r="E18" s="109"/>
      <c r="F18" s="109"/>
      <c r="G18" s="109"/>
      <c r="H18" s="109"/>
      <c r="I18" s="109"/>
      <c r="J18" s="75">
        <f>SUM(E18:I18)</f>
        <v>0</v>
      </c>
      <c r="K18" s="75">
        <f>IF(D18=0,C18+J18,D18+J18)</f>
        <v>0</v>
      </c>
      <c r="L18" s="109"/>
      <c r="M18" s="110"/>
      <c r="N18" s="127"/>
    </row>
    <row r="19" spans="1:14" ht="12.75" customHeight="1">
      <c r="A19" s="859" t="s">
        <v>1301</v>
      </c>
      <c r="B19" s="289"/>
      <c r="C19" s="129"/>
      <c r="D19" s="109"/>
      <c r="E19" s="109"/>
      <c r="F19" s="109"/>
      <c r="G19" s="109"/>
      <c r="H19" s="109"/>
      <c r="I19" s="109"/>
      <c r="J19" s="75">
        <f>SUM(E19:I19)</f>
        <v>0</v>
      </c>
      <c r="K19" s="75">
        <f>IF(D19=0,C19+J19,D19+J19)</f>
        <v>0</v>
      </c>
      <c r="L19" s="109"/>
      <c r="M19" s="110"/>
      <c r="N19" s="127"/>
    </row>
    <row r="20" spans="1:14" ht="12.75" customHeight="1">
      <c r="A20" s="165" t="s">
        <v>1306</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7"/>
    </row>
    <row r="21" spans="1:14" ht="3.75" customHeight="1">
      <c r="A21" s="165"/>
      <c r="B21" s="289"/>
      <c r="C21" s="74"/>
      <c r="D21" s="75"/>
      <c r="E21" s="75"/>
      <c r="F21" s="75"/>
      <c r="G21" s="75"/>
      <c r="H21" s="75"/>
      <c r="I21" s="75"/>
      <c r="J21" s="75"/>
      <c r="K21" s="75"/>
      <c r="L21" s="75"/>
      <c r="M21" s="76"/>
      <c r="N21" s="127"/>
    </row>
    <row r="22" spans="1:14" ht="12.75" customHeight="1">
      <c r="A22" s="290" t="s">
        <v>688</v>
      </c>
      <c r="B22" s="289"/>
      <c r="C22" s="74"/>
      <c r="D22" s="75"/>
      <c r="E22" s="75"/>
      <c r="F22" s="75"/>
      <c r="G22" s="75"/>
      <c r="H22" s="75"/>
      <c r="I22" s="75"/>
      <c r="J22" s="75"/>
      <c r="K22" s="75"/>
      <c r="L22" s="75"/>
      <c r="M22" s="76"/>
      <c r="N22" s="127"/>
    </row>
    <row r="23" spans="1:14" ht="12.75" customHeight="1">
      <c r="A23" s="55" t="s">
        <v>1307</v>
      </c>
      <c r="B23" s="289"/>
      <c r="C23" s="129"/>
      <c r="D23" s="109"/>
      <c r="E23" s="109"/>
      <c r="F23" s="109"/>
      <c r="G23" s="109"/>
      <c r="H23" s="109"/>
      <c r="I23" s="109"/>
      <c r="J23" s="75">
        <f>SUM(E23:I23)</f>
        <v>0</v>
      </c>
      <c r="K23" s="75">
        <f>IF(D23=0,C23+J23,D23+J23)</f>
        <v>0</v>
      </c>
      <c r="L23" s="109"/>
      <c r="M23" s="110"/>
      <c r="N23" s="127"/>
    </row>
    <row r="24" spans="1:14" ht="12.75" customHeight="1">
      <c r="A24" s="859" t="s">
        <v>1301</v>
      </c>
      <c r="B24" s="289"/>
      <c r="C24" s="129"/>
      <c r="D24" s="109"/>
      <c r="E24" s="109"/>
      <c r="F24" s="109"/>
      <c r="G24" s="109"/>
      <c r="H24" s="109"/>
      <c r="I24" s="109"/>
      <c r="J24" s="75">
        <f>SUM(E24:I24)</f>
        <v>0</v>
      </c>
      <c r="K24" s="75">
        <f>IF(D24=0,C24+J24,D24+J24)</f>
        <v>0</v>
      </c>
      <c r="L24" s="109"/>
      <c r="M24" s="110"/>
      <c r="N24" s="127"/>
    </row>
    <row r="25" spans="1:14" ht="12.75" customHeight="1">
      <c r="A25" s="165" t="s">
        <v>1308</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7"/>
    </row>
    <row r="26" spans="1:14" ht="4.5" customHeight="1">
      <c r="A26" s="165"/>
      <c r="B26" s="289"/>
      <c r="C26" s="74" t="s">
        <v>1450</v>
      </c>
      <c r="D26" s="75"/>
      <c r="E26" s="75"/>
      <c r="F26" s="75"/>
      <c r="G26" s="75"/>
      <c r="H26" s="75"/>
      <c r="I26" s="75"/>
      <c r="J26" s="75"/>
      <c r="K26" s="75"/>
      <c r="L26" s="75"/>
      <c r="M26" s="76"/>
      <c r="N26" s="127"/>
    </row>
    <row r="27" spans="1:14" ht="12.75" customHeight="1">
      <c r="A27" s="52" t="s">
        <v>1309</v>
      </c>
      <c r="B27" s="289"/>
      <c r="C27" s="74"/>
      <c r="D27" s="75"/>
      <c r="E27" s="75"/>
      <c r="F27" s="75"/>
      <c r="G27" s="75"/>
      <c r="H27" s="75"/>
      <c r="I27" s="75"/>
      <c r="J27" s="75"/>
      <c r="K27" s="75"/>
      <c r="L27" s="75"/>
      <c r="M27" s="76"/>
      <c r="N27" s="127"/>
    </row>
    <row r="28" spans="1:14" ht="12.75" customHeight="1">
      <c r="A28" s="55" t="s">
        <v>790</v>
      </c>
      <c r="B28" s="289"/>
      <c r="C28" s="129">
        <v>20385449</v>
      </c>
      <c r="D28" s="109"/>
      <c r="E28" s="109"/>
      <c r="F28" s="109"/>
      <c r="G28" s="109"/>
      <c r="H28" s="109"/>
      <c r="I28" s="109"/>
      <c r="J28" s="75">
        <f>SUM(E28:I28)</f>
        <v>0</v>
      </c>
      <c r="K28" s="75">
        <f>IF(D28=0,C28+J28,D28+J28)</f>
        <v>20385449</v>
      </c>
      <c r="L28" s="109">
        <v>21384336</v>
      </c>
      <c r="M28" s="109">
        <v>22432168.469999999</v>
      </c>
      <c r="N28" s="127"/>
    </row>
    <row r="29" spans="1:14" ht="12.75" customHeight="1">
      <c r="A29" s="55" t="s">
        <v>791</v>
      </c>
      <c r="B29" s="289"/>
      <c r="C29" s="129">
        <v>2000000</v>
      </c>
      <c r="D29" s="109"/>
      <c r="E29" s="109"/>
      <c r="F29" s="109"/>
      <c r="G29" s="109"/>
      <c r="H29" s="109"/>
      <c r="I29" s="109"/>
      <c r="J29" s="75">
        <f>SUM(E29:I29)</f>
        <v>0</v>
      </c>
      <c r="K29" s="75">
        <f>IF(D29=0,C29+J29,D29+J29)</f>
        <v>2000000</v>
      </c>
      <c r="L29" s="109">
        <v>2098000</v>
      </c>
      <c r="M29" s="109">
        <v>2200802</v>
      </c>
      <c r="N29" s="127"/>
    </row>
    <row r="30" spans="1:14" ht="12.75" customHeight="1">
      <c r="A30" s="859" t="s">
        <v>1301</v>
      </c>
      <c r="B30" s="289"/>
      <c r="C30" s="129">
        <v>1500000</v>
      </c>
      <c r="D30" s="109"/>
      <c r="E30" s="109"/>
      <c r="F30" s="109"/>
      <c r="G30" s="109"/>
      <c r="H30" s="109"/>
      <c r="I30" s="109"/>
      <c r="J30" s="75">
        <f>SUM(E30:I30)</f>
        <v>0</v>
      </c>
      <c r="K30" s="75">
        <f>IF(D30=0,C30+J30,D30+J30)</f>
        <v>1500000</v>
      </c>
      <c r="L30" s="109">
        <v>1573500</v>
      </c>
      <c r="M30" s="109">
        <v>1650602</v>
      </c>
      <c r="N30" s="127"/>
    </row>
    <row r="31" spans="1:14" ht="12.75" customHeight="1">
      <c r="A31" s="165" t="s">
        <v>1310</v>
      </c>
      <c r="B31" s="289"/>
      <c r="C31" s="80">
        <f>SUM(C28:C29)-C30</f>
        <v>20885449</v>
      </c>
      <c r="D31" s="81">
        <f t="shared" ref="D31:M31" si="4">SUM(D28:D29)-D30</f>
        <v>0</v>
      </c>
      <c r="E31" s="81">
        <f t="shared" si="4"/>
        <v>0</v>
      </c>
      <c r="F31" s="81">
        <f t="shared" si="4"/>
        <v>0</v>
      </c>
      <c r="G31" s="81">
        <f t="shared" si="4"/>
        <v>0</v>
      </c>
      <c r="H31" s="81">
        <f t="shared" si="4"/>
        <v>0</v>
      </c>
      <c r="I31" s="81">
        <f t="shared" si="4"/>
        <v>0</v>
      </c>
      <c r="J31" s="81">
        <f t="shared" si="4"/>
        <v>0</v>
      </c>
      <c r="K31" s="81">
        <f t="shared" si="4"/>
        <v>20885449</v>
      </c>
      <c r="L31" s="81">
        <f t="shared" si="4"/>
        <v>21908836</v>
      </c>
      <c r="M31" s="82">
        <f t="shared" si="4"/>
        <v>22982368.469999999</v>
      </c>
      <c r="N31" s="127"/>
    </row>
    <row r="32" spans="1:14" ht="5.25" customHeight="1">
      <c r="A32" s="125"/>
      <c r="B32" s="289"/>
      <c r="C32" s="74"/>
      <c r="D32" s="75"/>
      <c r="E32" s="75"/>
      <c r="F32" s="75"/>
      <c r="G32" s="75"/>
      <c r="H32" s="75"/>
      <c r="I32" s="75"/>
      <c r="J32" s="75"/>
      <c r="K32" s="75"/>
      <c r="L32" s="75"/>
      <c r="M32" s="76"/>
      <c r="N32" s="127"/>
    </row>
    <row r="33" spans="1:14" ht="12.75" customHeight="1">
      <c r="A33" s="52" t="s">
        <v>1311</v>
      </c>
      <c r="B33" s="289"/>
      <c r="C33" s="74"/>
      <c r="D33" s="75"/>
      <c r="E33" s="75"/>
      <c r="F33" s="75"/>
      <c r="G33" s="75"/>
      <c r="H33" s="75"/>
      <c r="I33" s="75"/>
      <c r="J33" s="75"/>
      <c r="K33" s="75"/>
      <c r="L33" s="75"/>
      <c r="M33" s="76"/>
      <c r="N33" s="127"/>
    </row>
    <row r="34" spans="1:14" ht="12.75" customHeight="1">
      <c r="A34" s="30" t="s">
        <v>1312</v>
      </c>
      <c r="B34" s="289"/>
      <c r="C34" s="129"/>
      <c r="D34" s="109"/>
      <c r="E34" s="109"/>
      <c r="F34" s="109"/>
      <c r="G34" s="109"/>
      <c r="H34" s="109"/>
      <c r="I34" s="109"/>
      <c r="J34" s="75">
        <f>SUM(E34:I34)</f>
        <v>0</v>
      </c>
      <c r="K34" s="75">
        <f>IF(D34=0,C34+J34,D34+J34)</f>
        <v>0</v>
      </c>
      <c r="L34" s="109"/>
      <c r="M34" s="110"/>
      <c r="N34" s="127"/>
    </row>
    <row r="35" spans="1:14" ht="12.75" customHeight="1">
      <c r="A35" s="30" t="s">
        <v>697</v>
      </c>
      <c r="B35" s="289">
        <v>3</v>
      </c>
      <c r="C35" s="129">
        <v>5203203</v>
      </c>
      <c r="D35" s="109"/>
      <c r="E35" s="109"/>
      <c r="F35" s="109"/>
      <c r="G35" s="109"/>
      <c r="H35" s="109"/>
      <c r="I35" s="762">
        <f>7445000+25802614+5500000</f>
        <v>38747614</v>
      </c>
      <c r="J35" s="75">
        <f>SUM(E35:I35)</f>
        <v>38747614</v>
      </c>
      <c r="K35" s="75">
        <f>IF(D35=0,C35+J35,D35+J35)</f>
        <v>43950817</v>
      </c>
      <c r="L35" s="109">
        <f>5458161+6500000</f>
        <v>11958161</v>
      </c>
      <c r="M35" s="109">
        <f>5725610+7000000</f>
        <v>12725610</v>
      </c>
      <c r="N35" s="127"/>
    </row>
    <row r="36" spans="1:14" ht="12.75" customHeight="1">
      <c r="A36" s="291" t="s">
        <v>1313</v>
      </c>
      <c r="B36" s="68">
        <v>1</v>
      </c>
      <c r="C36" s="80">
        <f t="shared" ref="C36:M36" si="5">SUM(C34:C35)</f>
        <v>5203203</v>
      </c>
      <c r="D36" s="81">
        <f t="shared" si="5"/>
        <v>0</v>
      </c>
      <c r="E36" s="81">
        <f t="shared" si="5"/>
        <v>0</v>
      </c>
      <c r="F36" s="81">
        <f>SUM(F34:F35)</f>
        <v>0</v>
      </c>
      <c r="G36" s="81">
        <f t="shared" si="5"/>
        <v>0</v>
      </c>
      <c r="H36" s="81">
        <f t="shared" si="5"/>
        <v>0</v>
      </c>
      <c r="I36" s="81">
        <f t="shared" si="5"/>
        <v>38747614</v>
      </c>
      <c r="J36" s="81">
        <f t="shared" si="5"/>
        <v>38747614</v>
      </c>
      <c r="K36" s="81">
        <f t="shared" si="5"/>
        <v>43950817</v>
      </c>
      <c r="L36" s="81">
        <f t="shared" si="5"/>
        <v>11958161</v>
      </c>
      <c r="M36" s="82">
        <f t="shared" si="5"/>
        <v>12725610</v>
      </c>
      <c r="N36" s="127"/>
    </row>
    <row r="37" spans="1:14" ht="5.0999999999999996" customHeight="1">
      <c r="A37" s="135"/>
      <c r="B37" s="289"/>
      <c r="C37" s="74"/>
      <c r="D37" s="75"/>
      <c r="E37" s="75"/>
      <c r="F37" s="75"/>
      <c r="G37" s="75"/>
      <c r="H37" s="75"/>
      <c r="I37" s="75"/>
      <c r="J37" s="75"/>
      <c r="K37" s="75"/>
      <c r="L37" s="75"/>
      <c r="M37" s="76"/>
      <c r="N37" s="127"/>
    </row>
    <row r="38" spans="1:14" ht="12.75" customHeight="1">
      <c r="A38" s="125" t="s">
        <v>1314</v>
      </c>
      <c r="B38" s="289"/>
      <c r="C38" s="74"/>
      <c r="D38" s="75"/>
      <c r="E38" s="75"/>
      <c r="F38" s="75"/>
      <c r="G38" s="75"/>
      <c r="H38" s="75"/>
      <c r="I38" s="75"/>
      <c r="J38" s="75"/>
      <c r="K38" s="75"/>
      <c r="L38" s="75"/>
      <c r="M38" s="76"/>
      <c r="N38" s="127"/>
    </row>
    <row r="39" spans="1:14" ht="12.75" customHeight="1">
      <c r="A39" s="125" t="s">
        <v>700</v>
      </c>
      <c r="B39" s="289"/>
      <c r="C39" s="74"/>
      <c r="D39" s="75"/>
      <c r="E39" s="75"/>
      <c r="F39" s="75"/>
      <c r="G39" s="75"/>
      <c r="H39" s="75"/>
      <c r="I39" s="75"/>
      <c r="J39" s="75"/>
      <c r="K39" s="75"/>
      <c r="L39" s="75"/>
      <c r="M39" s="76"/>
      <c r="N39" s="127"/>
    </row>
    <row r="40" spans="1:14" ht="12.75" customHeight="1">
      <c r="A40" s="128" t="s">
        <v>204</v>
      </c>
      <c r="B40" s="289"/>
      <c r="C40" s="129">
        <v>134234884</v>
      </c>
      <c r="D40" s="109"/>
      <c r="E40" s="109"/>
      <c r="F40" s="109"/>
      <c r="G40" s="109"/>
      <c r="H40" s="109"/>
      <c r="I40" s="109">
        <v>3041000</v>
      </c>
      <c r="J40" s="75">
        <f t="shared" ref="J40:J51" si="6">SUM(E40:I40)</f>
        <v>3041000</v>
      </c>
      <c r="K40" s="75">
        <f t="shared" ref="K40:K51" si="7">IF(D40=0,C40+J40,D40+J40)</f>
        <v>137275884</v>
      </c>
      <c r="L40" s="109">
        <f>140812393.3+3882000</f>
        <v>144694393.30000001</v>
      </c>
      <c r="M40" s="109">
        <f>147712200.6+4183000</f>
        <v>151895200.59999999</v>
      </c>
      <c r="N40" s="127"/>
    </row>
    <row r="41" spans="1:14" ht="12.75" customHeight="1">
      <c r="A41" s="128" t="s">
        <v>1577</v>
      </c>
      <c r="B41" s="289"/>
      <c r="C41" s="129">
        <v>24106329</v>
      </c>
      <c r="D41" s="109"/>
      <c r="E41" s="109"/>
      <c r="F41" s="109"/>
      <c r="G41" s="109"/>
      <c r="H41" s="109"/>
      <c r="I41" s="109"/>
      <c r="J41" s="75">
        <f t="shared" si="6"/>
        <v>0</v>
      </c>
      <c r="K41" s="75">
        <f t="shared" si="7"/>
        <v>24106329</v>
      </c>
      <c r="L41" s="109">
        <v>25287539.120000001</v>
      </c>
      <c r="M41" s="109">
        <v>26526628.539999999</v>
      </c>
      <c r="N41" s="127"/>
    </row>
    <row r="42" spans="1:14" ht="12.75" customHeight="1">
      <c r="A42" s="128" t="s">
        <v>197</v>
      </c>
      <c r="B42" s="289"/>
      <c r="C42" s="129">
        <v>8585051</v>
      </c>
      <c r="D42" s="109"/>
      <c r="E42" s="109"/>
      <c r="F42" s="109"/>
      <c r="G42" s="109"/>
      <c r="H42" s="109"/>
      <c r="I42" s="109"/>
      <c r="J42" s="75">
        <f t="shared" si="6"/>
        <v>0</v>
      </c>
      <c r="K42" s="75">
        <f t="shared" si="7"/>
        <v>8585051</v>
      </c>
      <c r="L42" s="109">
        <v>9005718.4989999998</v>
      </c>
      <c r="M42" s="109">
        <v>9446998.7050000001</v>
      </c>
      <c r="N42" s="127"/>
    </row>
    <row r="43" spans="1:14" ht="12.75" customHeight="1">
      <c r="A43" s="128" t="s">
        <v>1315</v>
      </c>
      <c r="B43" s="289"/>
      <c r="C43" s="129">
        <v>9094459</v>
      </c>
      <c r="D43" s="109"/>
      <c r="E43" s="109"/>
      <c r="F43" s="109"/>
      <c r="G43" s="109"/>
      <c r="H43" s="109"/>
      <c r="I43" s="109"/>
      <c r="J43" s="75">
        <f t="shared" si="6"/>
        <v>0</v>
      </c>
      <c r="K43" s="75">
        <f t="shared" si="7"/>
        <v>9094459</v>
      </c>
      <c r="L43" s="109">
        <v>9540087.4910000004</v>
      </c>
      <c r="M43" s="109">
        <v>10007551.779999999</v>
      </c>
      <c r="N43" s="127"/>
    </row>
    <row r="44" spans="1:14" ht="12.75" customHeight="1">
      <c r="A44" s="128" t="s">
        <v>201</v>
      </c>
      <c r="B44" s="289"/>
      <c r="C44" s="129">
        <v>752746</v>
      </c>
      <c r="D44" s="109"/>
      <c r="E44" s="109"/>
      <c r="F44" s="109"/>
      <c r="G44" s="109"/>
      <c r="H44" s="109"/>
      <c r="I44" s="109"/>
      <c r="J44" s="75">
        <f t="shared" si="6"/>
        <v>0</v>
      </c>
      <c r="K44" s="75">
        <f t="shared" si="7"/>
        <v>752746</v>
      </c>
      <c r="L44" s="109">
        <v>789630.554</v>
      </c>
      <c r="M44" s="109">
        <v>828322.45109999995</v>
      </c>
      <c r="N44" s="127"/>
    </row>
    <row r="45" spans="1:14" ht="12.75" customHeight="1">
      <c r="A45" s="128" t="s">
        <v>1578</v>
      </c>
      <c r="B45" s="289"/>
      <c r="C45" s="129">
        <v>8726211</v>
      </c>
      <c r="D45" s="109"/>
      <c r="E45" s="109"/>
      <c r="F45" s="109"/>
      <c r="G45" s="109"/>
      <c r="H45" s="109"/>
      <c r="I45" s="109"/>
      <c r="J45" s="75">
        <f>SUM(E45:I45)</f>
        <v>0</v>
      </c>
      <c r="K45" s="75">
        <f>IF(D45=0,C45+J45,D45+J45)</f>
        <v>8726211</v>
      </c>
      <c r="L45" s="109">
        <v>9020007.977</v>
      </c>
      <c r="M45" s="109">
        <v>9461988.3680000007</v>
      </c>
      <c r="N45" s="127"/>
    </row>
    <row r="46" spans="1:14" ht="12.75" customHeight="1">
      <c r="A46" s="128" t="s">
        <v>1579</v>
      </c>
      <c r="B46" s="289"/>
      <c r="C46" s="129"/>
      <c r="D46" s="109"/>
      <c r="E46" s="109"/>
      <c r="F46" s="109"/>
      <c r="G46" s="109"/>
      <c r="H46" s="109"/>
      <c r="I46" s="109"/>
      <c r="J46" s="75">
        <f>SUM(E46:I46)</f>
        <v>0</v>
      </c>
      <c r="K46" s="75">
        <f>IF(D46=0,C46+J46,D46+J46)</f>
        <v>0</v>
      </c>
      <c r="L46" s="109"/>
      <c r="M46" s="109"/>
      <c r="N46" s="127"/>
    </row>
    <row r="47" spans="1:14" ht="12.75" customHeight="1">
      <c r="A47" s="128" t="s">
        <v>1580</v>
      </c>
      <c r="B47" s="289"/>
      <c r="C47" s="129">
        <v>1803119</v>
      </c>
      <c r="D47" s="109"/>
      <c r="E47" s="109"/>
      <c r="F47" s="109"/>
      <c r="G47" s="109"/>
      <c r="H47" s="109"/>
      <c r="I47" s="109"/>
      <c r="J47" s="75">
        <f>SUM(E47:I47)</f>
        <v>0</v>
      </c>
      <c r="K47" s="75">
        <f>IF(D47=0,C47+J47,D47+J47)</f>
        <v>1803119</v>
      </c>
      <c r="L47" s="109">
        <v>1891471.831</v>
      </c>
      <c r="M47" s="109">
        <v>1984153.9509999999</v>
      </c>
      <c r="N47" s="127"/>
    </row>
    <row r="48" spans="1:14" ht="12.75" customHeight="1">
      <c r="A48" s="128" t="s">
        <v>1351</v>
      </c>
      <c r="B48" s="289"/>
      <c r="C48" s="129">
        <v>17401113</v>
      </c>
      <c r="D48" s="109"/>
      <c r="E48" s="109"/>
      <c r="F48" s="109"/>
      <c r="G48" s="109"/>
      <c r="H48" s="109"/>
      <c r="I48" s="109"/>
      <c r="J48" s="75">
        <f t="shared" si="6"/>
        <v>0</v>
      </c>
      <c r="K48" s="75">
        <f t="shared" si="7"/>
        <v>17401113</v>
      </c>
      <c r="L48" s="109">
        <v>18253767.539999999</v>
      </c>
      <c r="M48" s="109">
        <v>19148202.149999999</v>
      </c>
      <c r="N48" s="127"/>
    </row>
    <row r="49" spans="1:14" ht="12.75" customHeight="1">
      <c r="A49" s="128" t="s">
        <v>1317</v>
      </c>
      <c r="B49" s="289"/>
      <c r="C49" s="129">
        <v>6856050</v>
      </c>
      <c r="D49" s="109"/>
      <c r="E49" s="109"/>
      <c r="F49" s="109"/>
      <c r="G49" s="109"/>
      <c r="H49" s="109"/>
      <c r="I49" s="109"/>
      <c r="J49" s="75">
        <f t="shared" si="6"/>
        <v>0</v>
      </c>
      <c r="K49" s="75">
        <f t="shared" si="7"/>
        <v>6856050</v>
      </c>
      <c r="L49" s="109">
        <v>7191996.4500000002</v>
      </c>
      <c r="M49" s="109">
        <v>7544404.2759999996</v>
      </c>
      <c r="N49" s="127"/>
    </row>
    <row r="50" spans="1:14" ht="12.75" customHeight="1">
      <c r="A50" s="128" t="s">
        <v>1316</v>
      </c>
      <c r="B50" s="289"/>
      <c r="C50" s="129"/>
      <c r="D50" s="109"/>
      <c r="E50" s="109"/>
      <c r="F50" s="109"/>
      <c r="G50" s="109"/>
      <c r="H50" s="109"/>
      <c r="I50" s="109"/>
      <c r="J50" s="75">
        <f t="shared" si="6"/>
        <v>0</v>
      </c>
      <c r="K50" s="75">
        <f t="shared" si="7"/>
        <v>0</v>
      </c>
      <c r="L50" s="109"/>
      <c r="M50" s="110"/>
      <c r="N50" s="127"/>
    </row>
    <row r="51" spans="1:14" ht="12.75" customHeight="1">
      <c r="A51" s="128" t="s">
        <v>1318</v>
      </c>
      <c r="B51" s="289">
        <v>4</v>
      </c>
      <c r="C51" s="142"/>
      <c r="D51" s="143"/>
      <c r="E51" s="143"/>
      <c r="F51" s="143"/>
      <c r="G51" s="143"/>
      <c r="H51" s="143"/>
      <c r="I51" s="143"/>
      <c r="J51" s="144">
        <f t="shared" si="6"/>
        <v>0</v>
      </c>
      <c r="K51" s="144">
        <f t="shared" si="7"/>
        <v>0</v>
      </c>
      <c r="L51" s="143"/>
      <c r="M51" s="112"/>
      <c r="N51" s="127"/>
    </row>
    <row r="52" spans="1:14" ht="12.75" customHeight="1">
      <c r="A52" s="292" t="s">
        <v>1319</v>
      </c>
      <c r="B52" s="289"/>
      <c r="C52" s="81">
        <f>SUM(C40:C51)</f>
        <v>211559962</v>
      </c>
      <c r="D52" s="81">
        <f t="shared" ref="D52:M52" si="8">SUM(D40:D51)</f>
        <v>0</v>
      </c>
      <c r="E52" s="81">
        <f t="shared" si="8"/>
        <v>0</v>
      </c>
      <c r="F52" s="81">
        <f t="shared" si="8"/>
        <v>0</v>
      </c>
      <c r="G52" s="81">
        <f t="shared" si="8"/>
        <v>0</v>
      </c>
      <c r="H52" s="81">
        <f t="shared" si="8"/>
        <v>0</v>
      </c>
      <c r="I52" s="81">
        <f t="shared" si="8"/>
        <v>3041000</v>
      </c>
      <c r="J52" s="81">
        <f t="shared" si="8"/>
        <v>3041000</v>
      </c>
      <c r="K52" s="81">
        <f t="shared" si="8"/>
        <v>214600962</v>
      </c>
      <c r="L52" s="81">
        <f t="shared" si="8"/>
        <v>225674612.76199999</v>
      </c>
      <c r="M52" s="82">
        <f t="shared" si="8"/>
        <v>236843450.8211</v>
      </c>
      <c r="N52" s="127"/>
    </row>
    <row r="53" spans="1:14" ht="12.75" customHeight="1">
      <c r="A53" s="293" t="s">
        <v>1320</v>
      </c>
      <c r="B53" s="289"/>
      <c r="C53" s="129">
        <v>79785490</v>
      </c>
      <c r="D53" s="109"/>
      <c r="E53" s="109"/>
      <c r="F53" s="109"/>
      <c r="G53" s="109"/>
      <c r="H53" s="109"/>
      <c r="I53" s="109"/>
      <c r="J53" s="75">
        <f>SUM(E53:I53)</f>
        <v>0</v>
      </c>
      <c r="K53" s="75">
        <f>IF(D53=0,C53+J53,D53+J53)</f>
        <v>79785490</v>
      </c>
      <c r="L53" s="109">
        <v>83694979</v>
      </c>
      <c r="M53" s="109">
        <v>87796033</v>
      </c>
      <c r="N53" s="127"/>
    </row>
    <row r="54" spans="1:14" ht="12.75" customHeight="1">
      <c r="A54" s="138" t="str">
        <f>"Total "&amp;A39</f>
        <v>Total Employee related costs</v>
      </c>
      <c r="B54" s="289">
        <v>1</v>
      </c>
      <c r="C54" s="149">
        <f>C52-C53</f>
        <v>131774472</v>
      </c>
      <c r="D54" s="150">
        <f t="shared" ref="D54:I54" si="9">D52-D53</f>
        <v>0</v>
      </c>
      <c r="E54" s="150">
        <f t="shared" si="9"/>
        <v>0</v>
      </c>
      <c r="F54" s="150">
        <f t="shared" si="9"/>
        <v>0</v>
      </c>
      <c r="G54" s="150">
        <f t="shared" si="9"/>
        <v>0</v>
      </c>
      <c r="H54" s="150">
        <f t="shared" si="9"/>
        <v>0</v>
      </c>
      <c r="I54" s="150">
        <f t="shared" si="9"/>
        <v>3041000</v>
      </c>
      <c r="J54" s="150">
        <f>SUM(J52:J53)</f>
        <v>3041000</v>
      </c>
      <c r="K54" s="150">
        <f>SUM(K52:K53)</f>
        <v>294386452</v>
      </c>
      <c r="L54" s="150">
        <f>L52-L53</f>
        <v>141979633.76199999</v>
      </c>
      <c r="M54" s="151">
        <f>M52-M53</f>
        <v>149047417.8211</v>
      </c>
      <c r="N54" s="127"/>
    </row>
    <row r="55" spans="1:14" ht="5.0999999999999996" customHeight="1">
      <c r="A55" s="135"/>
      <c r="B55" s="289"/>
      <c r="C55" s="74"/>
      <c r="D55" s="75"/>
      <c r="E55" s="75"/>
      <c r="F55" s="75"/>
      <c r="G55" s="75"/>
      <c r="H55" s="75"/>
      <c r="I55" s="75"/>
      <c r="J55" s="75"/>
      <c r="K55" s="75"/>
      <c r="L55" s="75"/>
      <c r="M55" s="76"/>
      <c r="N55" s="127"/>
    </row>
    <row r="56" spans="1:14" ht="14.25" customHeight="1">
      <c r="A56" s="125" t="s">
        <v>1321</v>
      </c>
      <c r="B56" s="289"/>
      <c r="C56" s="74"/>
      <c r="D56" s="75"/>
      <c r="E56" s="75"/>
      <c r="F56" s="75"/>
      <c r="G56" s="75"/>
      <c r="H56" s="75"/>
      <c r="I56" s="75"/>
      <c r="J56" s="75"/>
      <c r="K56" s="75"/>
      <c r="L56" s="75"/>
      <c r="M56" s="76"/>
      <c r="N56" s="127"/>
    </row>
    <row r="57" spans="1:14" ht="14.25" customHeight="1">
      <c r="A57" s="294" t="s">
        <v>1322</v>
      </c>
      <c r="B57" s="289"/>
      <c r="C57" s="129"/>
      <c r="D57" s="109"/>
      <c r="E57" s="109"/>
      <c r="F57" s="109"/>
      <c r="G57" s="109"/>
      <c r="H57" s="109"/>
      <c r="I57" s="109"/>
      <c r="J57" s="75">
        <f>SUM(E57:I57)</f>
        <v>0</v>
      </c>
      <c r="K57" s="75">
        <f>IF(D57=0,C57+J57,D57+J57)</f>
        <v>0</v>
      </c>
      <c r="L57" s="109"/>
      <c r="M57" s="110"/>
      <c r="N57" s="127"/>
    </row>
    <row r="58" spans="1:14" ht="14.25" customHeight="1">
      <c r="A58" s="295"/>
      <c r="B58" s="289"/>
      <c r="C58" s="142"/>
      <c r="D58" s="143"/>
      <c r="E58" s="143"/>
      <c r="F58" s="143"/>
      <c r="G58" s="143"/>
      <c r="H58" s="143"/>
      <c r="I58" s="143"/>
      <c r="J58" s="144">
        <f>SUM(E58:I58)</f>
        <v>0</v>
      </c>
      <c r="K58" s="144">
        <f>IF(D58=0,C58+J58,D58+J58)</f>
        <v>0</v>
      </c>
      <c r="L58" s="143"/>
      <c r="M58" s="112"/>
      <c r="N58" s="127"/>
    </row>
    <row r="59" spans="1:14" ht="14.25" customHeight="1">
      <c r="A59" s="138" t="str">
        <f>"Total "&amp;A56</f>
        <v>Total Contributions recognised - capital</v>
      </c>
      <c r="B59" s="871"/>
      <c r="C59" s="139">
        <f t="shared" ref="C59:I59" si="10">SUM(C57:C58)</f>
        <v>0</v>
      </c>
      <c r="D59" s="140">
        <f t="shared" si="10"/>
        <v>0</v>
      </c>
      <c r="E59" s="140">
        <f t="shared" si="10"/>
        <v>0</v>
      </c>
      <c r="F59" s="140">
        <f t="shared" si="10"/>
        <v>0</v>
      </c>
      <c r="G59" s="140">
        <f t="shared" si="10"/>
        <v>0</v>
      </c>
      <c r="H59" s="140">
        <f t="shared" si="10"/>
        <v>0</v>
      </c>
      <c r="I59" s="140">
        <f t="shared" si="10"/>
        <v>0</v>
      </c>
      <c r="J59" s="140">
        <f>SUM(J57:J57)</f>
        <v>0</v>
      </c>
      <c r="K59" s="140">
        <f>SUM(K57:K57)</f>
        <v>0</v>
      </c>
      <c r="L59" s="140">
        <f>SUM(L57:L58)</f>
        <v>0</v>
      </c>
      <c r="M59" s="141">
        <f>SUM(M57:M58)</f>
        <v>0</v>
      </c>
      <c r="N59" s="127"/>
    </row>
    <row r="60" spans="1:14" ht="4.5" customHeight="1">
      <c r="A60" s="138"/>
      <c r="B60" s="289"/>
      <c r="C60" s="74"/>
      <c r="D60" s="75"/>
      <c r="E60" s="75"/>
      <c r="F60" s="75"/>
      <c r="G60" s="75"/>
      <c r="H60" s="75"/>
      <c r="I60" s="75"/>
      <c r="J60" s="75"/>
      <c r="K60" s="75"/>
      <c r="L60" s="75"/>
      <c r="M60" s="76"/>
      <c r="N60" s="127"/>
    </row>
    <row r="61" spans="1:14" ht="12.75" customHeight="1">
      <c r="A61" s="125" t="s">
        <v>600</v>
      </c>
      <c r="B61" s="289"/>
      <c r="C61" s="74"/>
      <c r="D61" s="75"/>
      <c r="E61" s="75"/>
      <c r="F61" s="75"/>
      <c r="G61" s="75"/>
      <c r="H61" s="75"/>
      <c r="I61" s="75"/>
      <c r="J61" s="75"/>
      <c r="K61" s="75"/>
      <c r="L61" s="75"/>
      <c r="M61" s="76"/>
      <c r="N61" s="127"/>
    </row>
    <row r="62" spans="1:14" ht="12.75" customHeight="1">
      <c r="A62" s="30" t="s">
        <v>1323</v>
      </c>
      <c r="B62" s="289"/>
      <c r="C62" s="129">
        <v>110726401</v>
      </c>
      <c r="D62" s="109"/>
      <c r="E62" s="109"/>
      <c r="F62" s="109"/>
      <c r="G62" s="109"/>
      <c r="H62" s="109"/>
      <c r="I62" s="109"/>
      <c r="J62" s="75">
        <f>SUM(E62:I62)</f>
        <v>0</v>
      </c>
      <c r="K62" s="75">
        <f>IF(D62=0,C62+J62,D62+J62)</f>
        <v>110726401</v>
      </c>
      <c r="L62" s="109">
        <v>127384502</v>
      </c>
      <c r="M62" s="109">
        <v>135825133</v>
      </c>
      <c r="N62" s="127"/>
    </row>
    <row r="63" spans="1:14" ht="12.75" customHeight="1">
      <c r="A63" s="30" t="s">
        <v>1324</v>
      </c>
      <c r="B63" s="289"/>
      <c r="C63" s="129"/>
      <c r="D63" s="109"/>
      <c r="E63" s="109"/>
      <c r="F63" s="109"/>
      <c r="G63" s="109"/>
      <c r="H63" s="109"/>
      <c r="I63" s="109"/>
      <c r="J63" s="75">
        <f>SUM(E63:I63)</f>
        <v>0</v>
      </c>
      <c r="K63" s="75">
        <f>IF(D63=0,C63+J63,D63+J63)</f>
        <v>0</v>
      </c>
      <c r="L63" s="109"/>
      <c r="M63" s="110"/>
      <c r="N63" s="127"/>
    </row>
    <row r="64" spans="1:14" ht="12.75" customHeight="1">
      <c r="A64" s="30" t="s">
        <v>1325</v>
      </c>
      <c r="B64" s="289"/>
      <c r="C64" s="129"/>
      <c r="D64" s="109"/>
      <c r="E64" s="109"/>
      <c r="F64" s="109"/>
      <c r="G64" s="109"/>
      <c r="H64" s="109"/>
      <c r="I64" s="109"/>
      <c r="J64" s="75">
        <f>SUM(E64:I64)</f>
        <v>0</v>
      </c>
      <c r="K64" s="75">
        <f>IF(D64=0,C64+J64,D64+J64)</f>
        <v>0</v>
      </c>
      <c r="L64" s="109"/>
      <c r="M64" s="110"/>
      <c r="N64" s="127"/>
    </row>
    <row r="65" spans="1:14" ht="12.75" customHeight="1">
      <c r="A65" s="30" t="s">
        <v>1525</v>
      </c>
      <c r="B65" s="289"/>
      <c r="C65" s="129"/>
      <c r="D65" s="109"/>
      <c r="E65" s="109"/>
      <c r="F65" s="109"/>
      <c r="G65" s="109"/>
      <c r="H65" s="109"/>
      <c r="I65" s="109"/>
      <c r="J65" s="75">
        <f>SUM(E65:I65)</f>
        <v>0</v>
      </c>
      <c r="K65" s="75">
        <f>IF(D65=0,C65+J65,D65+J65)</f>
        <v>0</v>
      </c>
      <c r="L65" s="109"/>
      <c r="M65" s="110"/>
      <c r="N65" s="127"/>
    </row>
    <row r="66" spans="1:14" ht="12.75" customHeight="1">
      <c r="A66" s="138" t="str">
        <f>"Total "&amp;LEFT(A61,35)</f>
        <v>Total Depreciation &amp; asset impairment</v>
      </c>
      <c r="B66" s="289">
        <v>1</v>
      </c>
      <c r="C66" s="149">
        <f>SUM(C62:C64)-C65</f>
        <v>110726401</v>
      </c>
      <c r="D66" s="150">
        <f t="shared" ref="D66:M66" si="11">SUM(D62:D64)-D65</f>
        <v>0</v>
      </c>
      <c r="E66" s="150">
        <f t="shared" si="11"/>
        <v>0</v>
      </c>
      <c r="F66" s="150">
        <f t="shared" si="11"/>
        <v>0</v>
      </c>
      <c r="G66" s="150">
        <f t="shared" si="11"/>
        <v>0</v>
      </c>
      <c r="H66" s="150">
        <f t="shared" si="11"/>
        <v>0</v>
      </c>
      <c r="I66" s="150">
        <f t="shared" si="11"/>
        <v>0</v>
      </c>
      <c r="J66" s="150">
        <f t="shared" si="11"/>
        <v>0</v>
      </c>
      <c r="K66" s="150">
        <f t="shared" si="11"/>
        <v>110726401</v>
      </c>
      <c r="L66" s="150">
        <f t="shared" si="11"/>
        <v>127384502</v>
      </c>
      <c r="M66" s="151">
        <f t="shared" si="11"/>
        <v>135825133</v>
      </c>
      <c r="N66" s="127"/>
    </row>
    <row r="67" spans="1:14" ht="5.0999999999999996" customHeight="1">
      <c r="A67" s="138"/>
      <c r="B67" s="289"/>
      <c r="C67" s="74"/>
      <c r="D67" s="75"/>
      <c r="E67" s="75"/>
      <c r="F67" s="75"/>
      <c r="G67" s="75"/>
      <c r="H67" s="75"/>
      <c r="I67" s="75"/>
      <c r="J67" s="75"/>
      <c r="K67" s="75"/>
      <c r="L67" s="75"/>
      <c r="M67" s="76"/>
      <c r="N67" s="127"/>
    </row>
    <row r="68" spans="1:14" ht="12.75" customHeight="1">
      <c r="A68" s="125" t="s">
        <v>702</v>
      </c>
      <c r="B68" s="289"/>
      <c r="C68" s="74"/>
      <c r="D68" s="75"/>
      <c r="E68" s="75"/>
      <c r="F68" s="75"/>
      <c r="G68" s="75"/>
      <c r="H68" s="75"/>
      <c r="I68" s="75"/>
      <c r="J68" s="75"/>
      <c r="K68" s="75"/>
      <c r="L68" s="75"/>
      <c r="M68" s="76"/>
      <c r="N68" s="127"/>
    </row>
    <row r="69" spans="1:14" ht="12.75" customHeight="1">
      <c r="A69" s="128" t="s">
        <v>669</v>
      </c>
      <c r="B69" s="289"/>
      <c r="C69" s="129">
        <v>248769734</v>
      </c>
      <c r="D69" s="109"/>
      <c r="E69" s="109"/>
      <c r="F69" s="109"/>
      <c r="G69" s="109"/>
      <c r="H69" s="109"/>
      <c r="I69" s="109"/>
      <c r="J69" s="75">
        <f>SUM(E69:I69)</f>
        <v>0</v>
      </c>
      <c r="K69" s="75">
        <f>IF(D69=0,C69+J69,D69+J69)</f>
        <v>248769734</v>
      </c>
      <c r="L69" s="109">
        <v>260959451</v>
      </c>
      <c r="M69" s="109">
        <v>273746464.10000002</v>
      </c>
      <c r="N69" s="127"/>
    </row>
    <row r="70" spans="1:14" ht="12.75" customHeight="1">
      <c r="A70" s="128" t="s">
        <v>670</v>
      </c>
      <c r="B70" s="289"/>
      <c r="C70" s="129"/>
      <c r="D70" s="109"/>
      <c r="E70" s="109"/>
      <c r="F70" s="109"/>
      <c r="G70" s="109"/>
      <c r="H70" s="109"/>
      <c r="I70" s="109"/>
      <c r="J70" s="75">
        <f>SUM(E70:I70)</f>
        <v>0</v>
      </c>
      <c r="K70" s="75">
        <f>IF(D70=0,C70+J70,D70+J70)</f>
        <v>0</v>
      </c>
      <c r="L70" s="109"/>
      <c r="M70" s="110"/>
      <c r="N70" s="127"/>
    </row>
    <row r="71" spans="1:14" ht="12.75" customHeight="1">
      <c r="A71" s="138" t="s">
        <v>1326</v>
      </c>
      <c r="B71" s="289">
        <v>1</v>
      </c>
      <c r="C71" s="149">
        <f t="shared" ref="C71:M71" si="12">SUM(C69:C70)</f>
        <v>248769734</v>
      </c>
      <c r="D71" s="150">
        <f t="shared" si="12"/>
        <v>0</v>
      </c>
      <c r="E71" s="150">
        <f t="shared" si="12"/>
        <v>0</v>
      </c>
      <c r="F71" s="150">
        <f t="shared" si="12"/>
        <v>0</v>
      </c>
      <c r="G71" s="150">
        <f t="shared" si="12"/>
        <v>0</v>
      </c>
      <c r="H71" s="150">
        <f t="shared" si="12"/>
        <v>0</v>
      </c>
      <c r="I71" s="150">
        <f t="shared" si="12"/>
        <v>0</v>
      </c>
      <c r="J71" s="150">
        <f t="shared" si="12"/>
        <v>0</v>
      </c>
      <c r="K71" s="150">
        <f t="shared" si="12"/>
        <v>248769734</v>
      </c>
      <c r="L71" s="150">
        <f t="shared" si="12"/>
        <v>260959451</v>
      </c>
      <c r="M71" s="151">
        <f t="shared" si="12"/>
        <v>273746464.10000002</v>
      </c>
      <c r="N71" s="127"/>
    </row>
    <row r="72" spans="1:14" ht="5.0999999999999996" customHeight="1">
      <c r="A72" s="138"/>
      <c r="B72" s="289"/>
      <c r="C72" s="74"/>
      <c r="D72" s="75"/>
      <c r="E72" s="75"/>
      <c r="F72" s="75"/>
      <c r="G72" s="75"/>
      <c r="H72" s="75"/>
      <c r="I72" s="75"/>
      <c r="J72" s="75"/>
      <c r="K72" s="75"/>
      <c r="L72" s="75"/>
      <c r="M72" s="76"/>
      <c r="N72" s="127"/>
    </row>
    <row r="73" spans="1:14" ht="12.75" customHeight="1">
      <c r="A73" s="125" t="s">
        <v>704</v>
      </c>
      <c r="B73" s="289"/>
      <c r="C73" s="74"/>
      <c r="D73" s="75"/>
      <c r="E73" s="75"/>
      <c r="F73" s="75"/>
      <c r="G73" s="75"/>
      <c r="H73" s="75"/>
      <c r="I73" s="75"/>
      <c r="J73" s="75"/>
      <c r="K73" s="75"/>
      <c r="L73" s="75"/>
      <c r="M73" s="76"/>
      <c r="N73" s="127"/>
    </row>
    <row r="74" spans="1:14" ht="12.75" customHeight="1">
      <c r="A74" s="294" t="s">
        <v>1327</v>
      </c>
      <c r="B74" s="289"/>
      <c r="C74" s="129"/>
      <c r="D74" s="109"/>
      <c r="E74" s="109"/>
      <c r="F74" s="109"/>
      <c r="G74" s="109"/>
      <c r="H74" s="109"/>
      <c r="I74" s="109"/>
      <c r="J74" s="75">
        <f>SUM(E74:I74)</f>
        <v>0</v>
      </c>
      <c r="K74" s="75">
        <f>IF(D74=0,C74+J74,D74+J74)</f>
        <v>0</v>
      </c>
      <c r="L74" s="109"/>
      <c r="M74" s="109"/>
      <c r="N74" s="127"/>
    </row>
    <row r="75" spans="1:14" ht="12.75" customHeight="1">
      <c r="A75" s="1169" t="s">
        <v>1116</v>
      </c>
      <c r="B75" s="289"/>
      <c r="C75" s="129">
        <v>500000</v>
      </c>
      <c r="D75" s="109"/>
      <c r="E75" s="109"/>
      <c r="F75" s="109"/>
      <c r="G75" s="109"/>
      <c r="H75" s="109"/>
      <c r="I75" s="109">
        <v>8000</v>
      </c>
      <c r="J75" s="75">
        <f t="shared" ref="J75:J86" si="13">SUM(E75:I75)</f>
        <v>8000</v>
      </c>
      <c r="K75" s="75">
        <f t="shared" ref="K75:K86" si="14">IF(D75=0,C75+J75,D75+J75)</f>
        <v>508000</v>
      </c>
      <c r="L75" s="109">
        <f>524500+22990</f>
        <v>547490</v>
      </c>
      <c r="M75" s="109">
        <f>550201+25289</f>
        <v>575490</v>
      </c>
      <c r="N75" s="127"/>
    </row>
    <row r="76" spans="1:14" ht="12.75" customHeight="1">
      <c r="A76" s="1169" t="s">
        <v>1778</v>
      </c>
      <c r="B76" s="289"/>
      <c r="C76" s="129">
        <v>1562314</v>
      </c>
      <c r="D76" s="109"/>
      <c r="E76" s="109"/>
      <c r="F76" s="109"/>
      <c r="G76" s="109"/>
      <c r="H76" s="109"/>
      <c r="I76" s="109"/>
      <c r="J76" s="75">
        <f t="shared" si="13"/>
        <v>0</v>
      </c>
      <c r="K76" s="75">
        <f t="shared" si="14"/>
        <v>1562314</v>
      </c>
      <c r="L76" s="109">
        <v>1638867</v>
      </c>
      <c r="M76" s="109">
        <v>1719172</v>
      </c>
      <c r="N76" s="127"/>
    </row>
    <row r="77" spans="1:14" ht="12.75" customHeight="1">
      <c r="A77" s="1169" t="s">
        <v>1779</v>
      </c>
      <c r="B77" s="289"/>
      <c r="C77" s="129">
        <v>8798179</v>
      </c>
      <c r="D77" s="109"/>
      <c r="E77" s="109"/>
      <c r="F77" s="109"/>
      <c r="G77" s="109"/>
      <c r="H77" s="109"/>
      <c r="I77" s="109">
        <v>7000</v>
      </c>
      <c r="J77" s="75">
        <f t="shared" si="13"/>
        <v>7000</v>
      </c>
      <c r="K77" s="75">
        <f t="shared" si="14"/>
        <v>8805179</v>
      </c>
      <c r="L77" s="109">
        <f>9229290+7659</f>
        <v>9236949</v>
      </c>
      <c r="M77" s="109">
        <f>9681525+8425</f>
        <v>9689950</v>
      </c>
      <c r="N77" s="127"/>
    </row>
    <row r="78" spans="1:14" ht="12.75" customHeight="1">
      <c r="A78" s="1169" t="s">
        <v>1780</v>
      </c>
      <c r="B78" s="289"/>
      <c r="C78" s="129">
        <v>9750000</v>
      </c>
      <c r="D78" s="109"/>
      <c r="E78" s="109"/>
      <c r="F78" s="109"/>
      <c r="G78" s="109"/>
      <c r="H78" s="109"/>
      <c r="I78" s="109"/>
      <c r="J78" s="75">
        <f t="shared" si="13"/>
        <v>0</v>
      </c>
      <c r="K78" s="75">
        <f t="shared" si="14"/>
        <v>9750000</v>
      </c>
      <c r="L78" s="109">
        <v>10227750</v>
      </c>
      <c r="M78" s="109">
        <v>10728910</v>
      </c>
      <c r="N78" s="127"/>
    </row>
    <row r="79" spans="1:14" ht="12.75" customHeight="1">
      <c r="A79" s="1169" t="s">
        <v>1781</v>
      </c>
      <c r="B79" s="289"/>
      <c r="C79" s="129">
        <v>9337118</v>
      </c>
      <c r="D79" s="109"/>
      <c r="E79" s="109"/>
      <c r="F79" s="109"/>
      <c r="G79" s="109"/>
      <c r="H79" s="109"/>
      <c r="I79" s="109">
        <v>6000</v>
      </c>
      <c r="J79" s="75">
        <f t="shared" si="13"/>
        <v>6000</v>
      </c>
      <c r="K79" s="75">
        <f t="shared" si="14"/>
        <v>9343118</v>
      </c>
      <c r="L79" s="109">
        <f>9794637+15972</f>
        <v>9810609</v>
      </c>
      <c r="M79" s="109">
        <f>10274574+17569</f>
        <v>10292143</v>
      </c>
      <c r="N79" s="127"/>
    </row>
    <row r="80" spans="1:14" ht="12.75" customHeight="1">
      <c r="A80" s="1169" t="s">
        <v>1782</v>
      </c>
      <c r="B80" s="289"/>
      <c r="C80" s="129">
        <v>2500000</v>
      </c>
      <c r="D80" s="109"/>
      <c r="E80" s="109"/>
      <c r="F80" s="109"/>
      <c r="G80" s="109"/>
      <c r="H80" s="109"/>
      <c r="I80" s="109"/>
      <c r="J80" s="75">
        <f t="shared" si="13"/>
        <v>0</v>
      </c>
      <c r="K80" s="75">
        <f t="shared" si="14"/>
        <v>2500000</v>
      </c>
      <c r="L80" s="109">
        <v>2622500</v>
      </c>
      <c r="M80" s="109">
        <v>2751003</v>
      </c>
      <c r="N80" s="127"/>
    </row>
    <row r="81" spans="1:14" ht="12.75" customHeight="1">
      <c r="A81" s="1169" t="s">
        <v>1783</v>
      </c>
      <c r="B81" s="289"/>
      <c r="C81" s="129">
        <v>989150</v>
      </c>
      <c r="D81" s="109"/>
      <c r="E81" s="109"/>
      <c r="F81" s="109"/>
      <c r="G81" s="109"/>
      <c r="H81" s="109"/>
      <c r="I81" s="109"/>
      <c r="J81" s="75">
        <f t="shared" si="13"/>
        <v>0</v>
      </c>
      <c r="K81" s="75">
        <f t="shared" si="14"/>
        <v>989150</v>
      </c>
      <c r="L81" s="109">
        <v>1037618</v>
      </c>
      <c r="M81" s="109">
        <v>1088462</v>
      </c>
      <c r="N81" s="127"/>
    </row>
    <row r="82" spans="1:14" ht="12.75" customHeight="1">
      <c r="A82" s="1169" t="s">
        <v>1784</v>
      </c>
      <c r="B82" s="289"/>
      <c r="C82" s="129">
        <v>165632</v>
      </c>
      <c r="D82" s="109"/>
      <c r="E82" s="109"/>
      <c r="F82" s="109"/>
      <c r="G82" s="109"/>
      <c r="H82" s="109"/>
      <c r="I82" s="109">
        <v>-165000</v>
      </c>
      <c r="J82" s="75">
        <f t="shared" si="13"/>
        <v>-165000</v>
      </c>
      <c r="K82" s="75">
        <f t="shared" si="14"/>
        <v>632</v>
      </c>
      <c r="L82" s="109">
        <v>173748</v>
      </c>
      <c r="M82" s="109">
        <v>182262</v>
      </c>
      <c r="N82" s="127"/>
    </row>
    <row r="83" spans="1:14" ht="12.75" customHeight="1">
      <c r="A83" s="1169" t="s">
        <v>1642</v>
      </c>
      <c r="B83" s="289"/>
      <c r="C83" s="129">
        <v>10000</v>
      </c>
      <c r="D83" s="109"/>
      <c r="E83" s="109"/>
      <c r="F83" s="109"/>
      <c r="G83" s="109"/>
      <c r="H83" s="109"/>
      <c r="I83" s="109">
        <v>130000</v>
      </c>
      <c r="J83" s="75">
        <f t="shared" si="13"/>
        <v>130000</v>
      </c>
      <c r="K83" s="75">
        <f t="shared" si="14"/>
        <v>140000</v>
      </c>
      <c r="L83" s="109">
        <v>10490</v>
      </c>
      <c r="M83" s="109">
        <v>11004</v>
      </c>
      <c r="N83" s="127"/>
    </row>
    <row r="84" spans="1:14" ht="12.75" customHeight="1">
      <c r="A84" s="1169" t="s">
        <v>2083</v>
      </c>
      <c r="B84" s="289"/>
      <c r="C84" s="129"/>
      <c r="D84" s="109"/>
      <c r="E84" s="109"/>
      <c r="F84" s="109"/>
      <c r="G84" s="109"/>
      <c r="H84" s="109"/>
      <c r="I84" s="109">
        <v>252000</v>
      </c>
      <c r="J84" s="75">
        <f t="shared" ref="J84:J85" si="15">SUM(E84:I84)</f>
        <v>252000</v>
      </c>
      <c r="K84" s="75">
        <f t="shared" ref="K84:K85" si="16">IF(D84=0,C84+J84,D84+J84)</f>
        <v>252000</v>
      </c>
      <c r="L84" s="109">
        <v>277200</v>
      </c>
      <c r="M84" s="109">
        <v>304920</v>
      </c>
      <c r="N84" s="127"/>
    </row>
    <row r="85" spans="1:14" ht="12.75" customHeight="1">
      <c r="A85" s="1169"/>
      <c r="B85" s="289"/>
      <c r="C85" s="129"/>
      <c r="D85" s="109"/>
      <c r="E85" s="109"/>
      <c r="F85" s="109"/>
      <c r="G85" s="109"/>
      <c r="H85" s="109"/>
      <c r="I85" s="109"/>
      <c r="J85" s="75">
        <f t="shared" si="15"/>
        <v>0</v>
      </c>
      <c r="K85" s="75">
        <f t="shared" si="16"/>
        <v>0</v>
      </c>
      <c r="L85" s="109"/>
      <c r="M85" s="109"/>
      <c r="N85" s="127"/>
    </row>
    <row r="86" spans="1:14" ht="12.75" customHeight="1">
      <c r="A86" s="1169" t="s">
        <v>1785</v>
      </c>
      <c r="B86" s="289"/>
      <c r="C86" s="129">
        <v>3700000</v>
      </c>
      <c r="D86" s="109"/>
      <c r="E86" s="109"/>
      <c r="F86" s="109"/>
      <c r="G86" s="109"/>
      <c r="H86" s="109"/>
      <c r="I86" s="109"/>
      <c r="J86" s="75">
        <f t="shared" si="13"/>
        <v>0</v>
      </c>
      <c r="K86" s="75">
        <f t="shared" si="14"/>
        <v>3700000</v>
      </c>
      <c r="L86" s="109">
        <v>3881300</v>
      </c>
      <c r="M86" s="109">
        <v>4071484</v>
      </c>
      <c r="N86" s="127"/>
    </row>
    <row r="87" spans="1:14" ht="12.75" customHeight="1">
      <c r="A87" s="1169" t="s">
        <v>1786</v>
      </c>
      <c r="B87" s="289"/>
      <c r="C87" s="142">
        <v>1800479</v>
      </c>
      <c r="D87" s="143"/>
      <c r="E87" s="143"/>
      <c r="F87" s="143"/>
      <c r="G87" s="143"/>
      <c r="H87" s="143"/>
      <c r="I87" s="143"/>
      <c r="J87" s="144">
        <f>SUM(E87:I87)</f>
        <v>0</v>
      </c>
      <c r="K87" s="144">
        <f>IF(D87=0,C87+J87,D87+J87)</f>
        <v>1800479</v>
      </c>
      <c r="L87" s="143">
        <v>1888702</v>
      </c>
      <c r="M87" s="143">
        <v>1981249</v>
      </c>
      <c r="N87" s="127"/>
    </row>
    <row r="88" spans="1:14" ht="12.75" customHeight="1">
      <c r="A88" s="292" t="s">
        <v>1319</v>
      </c>
      <c r="B88" s="289">
        <v>1</v>
      </c>
      <c r="C88" s="139">
        <f t="shared" ref="C88:I88" si="17">SUM(C74:C87)</f>
        <v>39112872</v>
      </c>
      <c r="D88" s="140">
        <f t="shared" si="17"/>
        <v>0</v>
      </c>
      <c r="E88" s="140">
        <f t="shared" si="17"/>
        <v>0</v>
      </c>
      <c r="F88" s="140">
        <f t="shared" si="17"/>
        <v>0</v>
      </c>
      <c r="G88" s="140">
        <f t="shared" si="17"/>
        <v>0</v>
      </c>
      <c r="H88" s="140">
        <f t="shared" si="17"/>
        <v>0</v>
      </c>
      <c r="I88" s="140">
        <f t="shared" si="17"/>
        <v>238000</v>
      </c>
      <c r="J88" s="140">
        <f>SUM(J74:J74)</f>
        <v>0</v>
      </c>
      <c r="K88" s="140">
        <f>SUM(K74:K74)</f>
        <v>0</v>
      </c>
      <c r="L88" s="140">
        <f>SUM(L74:L87)</f>
        <v>41353223</v>
      </c>
      <c r="M88" s="141">
        <f>SUM(M74:M87)</f>
        <v>43396049</v>
      </c>
      <c r="N88" s="127"/>
    </row>
    <row r="89" spans="1:14" ht="12.75" customHeight="1">
      <c r="A89" s="165" t="s">
        <v>1328</v>
      </c>
      <c r="B89" s="289"/>
      <c r="C89" s="74"/>
      <c r="D89" s="75"/>
      <c r="E89" s="75"/>
      <c r="F89" s="75"/>
      <c r="G89" s="75"/>
      <c r="H89" s="75"/>
      <c r="I89" s="75"/>
      <c r="J89" s="75"/>
      <c r="K89" s="75"/>
      <c r="L89" s="75"/>
      <c r="M89" s="76"/>
      <c r="N89" s="127"/>
    </row>
    <row r="90" spans="1:14" ht="12.75" customHeight="1">
      <c r="A90" s="163" t="s">
        <v>669</v>
      </c>
      <c r="B90" s="289"/>
      <c r="C90" s="129"/>
      <c r="D90" s="109"/>
      <c r="E90" s="109"/>
      <c r="F90" s="109"/>
      <c r="G90" s="109"/>
      <c r="H90" s="109"/>
      <c r="I90" s="109"/>
      <c r="J90" s="75">
        <f>SUM(E90:I90)</f>
        <v>0</v>
      </c>
      <c r="K90" s="75">
        <f>IF(D90=0,C90+J90,D90+J90)</f>
        <v>0</v>
      </c>
      <c r="L90" s="109"/>
      <c r="M90" s="110"/>
      <c r="N90" s="127"/>
    </row>
    <row r="91" spans="1:14" ht="12.75" customHeight="1">
      <c r="A91" s="163" t="s">
        <v>670</v>
      </c>
      <c r="B91" s="289"/>
      <c r="C91" s="129"/>
      <c r="D91" s="109"/>
      <c r="E91" s="109"/>
      <c r="F91" s="109"/>
      <c r="G91" s="109"/>
      <c r="H91" s="109"/>
      <c r="I91" s="109"/>
      <c r="J91" s="75">
        <f>SUM(E91:I91)</f>
        <v>0</v>
      </c>
      <c r="K91" s="75">
        <f>IF(D91=0,C91+J91,D91+J91)</f>
        <v>0</v>
      </c>
      <c r="L91" s="109"/>
      <c r="M91" s="110"/>
      <c r="N91" s="127"/>
    </row>
    <row r="92" spans="1:14" ht="12.75" customHeight="1">
      <c r="A92" s="163" t="s">
        <v>1238</v>
      </c>
      <c r="B92" s="289"/>
      <c r="C92" s="129"/>
      <c r="D92" s="109"/>
      <c r="E92" s="109"/>
      <c r="F92" s="109"/>
      <c r="G92" s="109"/>
      <c r="H92" s="109"/>
      <c r="I92" s="109"/>
      <c r="J92" s="75">
        <f>SUM(E92:I92)</f>
        <v>0</v>
      </c>
      <c r="K92" s="75">
        <f>IF(D92=0,C92+J92,D92+J92)</f>
        <v>0</v>
      </c>
      <c r="L92" s="109"/>
      <c r="M92" s="110"/>
      <c r="N92" s="127"/>
    </row>
    <row r="93" spans="1:14" ht="12.75" customHeight="1">
      <c r="A93" s="163" t="s">
        <v>673</v>
      </c>
      <c r="B93" s="289"/>
      <c r="C93" s="129"/>
      <c r="D93" s="109"/>
      <c r="E93" s="109"/>
      <c r="F93" s="109"/>
      <c r="G93" s="109"/>
      <c r="H93" s="109"/>
      <c r="I93" s="109"/>
      <c r="J93" s="75">
        <f>SUM(E93:I93)</f>
        <v>0</v>
      </c>
      <c r="K93" s="75">
        <f>IF(D93=0,C93+J93,D93+J93)</f>
        <v>0</v>
      </c>
      <c r="L93" s="109"/>
      <c r="M93" s="110"/>
      <c r="N93" s="127"/>
    </row>
    <row r="94" spans="1:14" ht="12.75" customHeight="1">
      <c r="A94" s="138" t="s">
        <v>1329</v>
      </c>
      <c r="B94" s="289"/>
      <c r="C94" s="149">
        <f>SUM(C88:C93)</f>
        <v>39112872</v>
      </c>
      <c r="D94" s="150">
        <f t="shared" ref="D94:M94" si="18">SUM(D88:D93)</f>
        <v>0</v>
      </c>
      <c r="E94" s="150">
        <f t="shared" si="18"/>
        <v>0</v>
      </c>
      <c r="F94" s="150">
        <f t="shared" si="18"/>
        <v>0</v>
      </c>
      <c r="G94" s="150">
        <f t="shared" si="18"/>
        <v>0</v>
      </c>
      <c r="H94" s="150">
        <f t="shared" si="18"/>
        <v>0</v>
      </c>
      <c r="I94" s="150">
        <f t="shared" si="18"/>
        <v>238000</v>
      </c>
      <c r="J94" s="150">
        <f t="shared" si="18"/>
        <v>0</v>
      </c>
      <c r="K94" s="150">
        <f t="shared" si="18"/>
        <v>0</v>
      </c>
      <c r="L94" s="150">
        <f t="shared" si="18"/>
        <v>41353223</v>
      </c>
      <c r="M94" s="151">
        <f t="shared" si="18"/>
        <v>43396049</v>
      </c>
      <c r="N94" s="127"/>
    </row>
    <row r="95" spans="1:14" ht="5.0999999999999996" customHeight="1">
      <c r="A95" s="135"/>
      <c r="B95" s="289"/>
      <c r="C95" s="74"/>
      <c r="D95" s="75"/>
      <c r="E95" s="75"/>
      <c r="F95" s="75"/>
      <c r="G95" s="75"/>
      <c r="H95" s="75"/>
      <c r="I95" s="75"/>
      <c r="J95" s="75"/>
      <c r="K95" s="75"/>
      <c r="L95" s="75"/>
      <c r="M95" s="76"/>
      <c r="N95" s="127"/>
    </row>
    <row r="96" spans="1:14" ht="12.75" customHeight="1">
      <c r="A96" s="125" t="s">
        <v>1330</v>
      </c>
      <c r="B96" s="296"/>
      <c r="C96" s="74"/>
      <c r="D96" s="75"/>
      <c r="E96" s="75"/>
      <c r="F96" s="75"/>
      <c r="G96" s="75"/>
      <c r="H96" s="75"/>
      <c r="I96" s="75"/>
      <c r="J96" s="75"/>
      <c r="K96" s="75"/>
      <c r="L96" s="75"/>
      <c r="M96" s="76"/>
      <c r="N96" s="127"/>
    </row>
    <row r="97" spans="1:14" ht="12.75" customHeight="1">
      <c r="A97" s="30" t="s">
        <v>1482</v>
      </c>
      <c r="B97" s="296"/>
      <c r="C97" s="129">
        <v>100111875</v>
      </c>
      <c r="D97" s="109"/>
      <c r="E97" s="109"/>
      <c r="F97" s="109"/>
      <c r="G97" s="109"/>
      <c r="H97" s="109"/>
      <c r="I97" s="109"/>
      <c r="J97" s="75">
        <f t="shared" ref="J97:J102" si="19">SUM(E97:I97)</f>
        <v>0</v>
      </c>
      <c r="K97" s="75">
        <f t="shared" ref="K97:K102" si="20">IF(D97=0,C97+J97,D97+J97)</f>
        <v>100111875</v>
      </c>
      <c r="L97" s="109">
        <v>105017356</v>
      </c>
      <c r="M97" s="109">
        <v>110163207</v>
      </c>
      <c r="N97" s="127"/>
    </row>
    <row r="98" spans="1:14" ht="12.75" customHeight="1">
      <c r="A98" s="30" t="s">
        <v>1331</v>
      </c>
      <c r="B98" s="289"/>
      <c r="C98" s="129">
        <v>200000</v>
      </c>
      <c r="D98" s="109"/>
      <c r="E98" s="109"/>
      <c r="F98" s="109"/>
      <c r="G98" s="109"/>
      <c r="H98" s="109"/>
      <c r="I98" s="109"/>
      <c r="J98" s="75">
        <f t="shared" si="19"/>
        <v>0</v>
      </c>
      <c r="K98" s="75">
        <f t="shared" si="20"/>
        <v>200000</v>
      </c>
      <c r="L98" s="109">
        <v>209800</v>
      </c>
      <c r="M98" s="109">
        <v>220080</v>
      </c>
      <c r="N98" s="127"/>
    </row>
    <row r="99" spans="1:14" ht="12.75" customHeight="1">
      <c r="A99" s="30" t="s">
        <v>1332</v>
      </c>
      <c r="B99" s="289"/>
      <c r="C99" s="129"/>
      <c r="D99" s="109"/>
      <c r="E99" s="109"/>
      <c r="F99" s="109"/>
      <c r="G99" s="109"/>
      <c r="H99" s="109"/>
      <c r="I99" s="109"/>
      <c r="J99" s="75">
        <f t="shared" si="19"/>
        <v>0</v>
      </c>
      <c r="K99" s="75">
        <f t="shared" si="20"/>
        <v>0</v>
      </c>
      <c r="L99" s="109"/>
      <c r="M99" s="109"/>
      <c r="N99" s="127"/>
    </row>
    <row r="100" spans="1:14" ht="12.75" customHeight="1">
      <c r="A100" s="30" t="s">
        <v>1333</v>
      </c>
      <c r="B100" s="289"/>
      <c r="C100" s="129">
        <v>4064787</v>
      </c>
      <c r="D100" s="109"/>
      <c r="E100" s="109"/>
      <c r="F100" s="109"/>
      <c r="G100" s="109"/>
      <c r="H100" s="109"/>
      <c r="I100" s="109">
        <v>-320000</v>
      </c>
      <c r="J100" s="75">
        <f t="shared" si="19"/>
        <v>-320000</v>
      </c>
      <c r="K100" s="75">
        <f t="shared" si="20"/>
        <v>3744787</v>
      </c>
      <c r="L100" s="109">
        <v>4263962</v>
      </c>
      <c r="M100" s="109">
        <v>4472896</v>
      </c>
      <c r="N100" s="127"/>
    </row>
    <row r="101" spans="1:14" ht="12.75" customHeight="1">
      <c r="A101" s="30" t="s">
        <v>1334</v>
      </c>
      <c r="B101" s="289"/>
      <c r="C101" s="129">
        <v>2405304</v>
      </c>
      <c r="D101" s="109"/>
      <c r="E101" s="109"/>
      <c r="F101" s="109"/>
      <c r="G101" s="109"/>
      <c r="H101" s="109"/>
      <c r="I101" s="109"/>
      <c r="J101" s="75">
        <f t="shared" si="19"/>
        <v>0</v>
      </c>
      <c r="K101" s="75">
        <f t="shared" si="20"/>
        <v>2405304</v>
      </c>
      <c r="L101" s="109">
        <v>2523164</v>
      </c>
      <c r="M101" s="109">
        <v>2646799</v>
      </c>
      <c r="N101" s="127"/>
    </row>
    <row r="102" spans="1:14" ht="12.75" customHeight="1">
      <c r="A102" s="128" t="s">
        <v>1335</v>
      </c>
      <c r="B102" s="289" t="s">
        <v>1336</v>
      </c>
      <c r="C102" s="129">
        <v>71525492</v>
      </c>
      <c r="D102" s="109"/>
      <c r="E102" s="109"/>
      <c r="F102" s="109"/>
      <c r="G102" s="109"/>
      <c r="H102" s="109"/>
      <c r="I102" s="109">
        <f>7445000+662000-177000+1706000</f>
        <v>9636000</v>
      </c>
      <c r="J102" s="75">
        <f t="shared" si="19"/>
        <v>9636000</v>
      </c>
      <c r="K102" s="75">
        <f t="shared" si="20"/>
        <v>81161492</v>
      </c>
      <c r="L102" s="109">
        <f>75030242.32+1938000-25000</f>
        <v>76943242.319999993</v>
      </c>
      <c r="M102" s="109">
        <f>78706725.34+2065000-27500</f>
        <v>80744225.340000004</v>
      </c>
      <c r="N102" s="127"/>
    </row>
    <row r="103" spans="1:14" ht="12.75" customHeight="1">
      <c r="A103" s="297" t="s">
        <v>1337</v>
      </c>
      <c r="B103" s="20">
        <v>1</v>
      </c>
      <c r="C103" s="156">
        <f t="shared" ref="C103:I103" si="21">SUM(C97:C102)</f>
        <v>178307458</v>
      </c>
      <c r="D103" s="116">
        <f t="shared" si="21"/>
        <v>0</v>
      </c>
      <c r="E103" s="116">
        <f t="shared" si="21"/>
        <v>0</v>
      </c>
      <c r="F103" s="116">
        <f t="shared" si="21"/>
        <v>0</v>
      </c>
      <c r="G103" s="116">
        <f t="shared" si="21"/>
        <v>0</v>
      </c>
      <c r="H103" s="116">
        <f t="shared" si="21"/>
        <v>0</v>
      </c>
      <c r="I103" s="116">
        <f t="shared" si="21"/>
        <v>9316000</v>
      </c>
      <c r="J103" s="116">
        <f>SUM(J98:J102)</f>
        <v>9316000</v>
      </c>
      <c r="K103" s="116">
        <f>SUM(K98:K102)</f>
        <v>87511583</v>
      </c>
      <c r="L103" s="116">
        <f>SUM(L97:L102)</f>
        <v>188957524.31999999</v>
      </c>
      <c r="M103" s="117">
        <f>SUM(M97:M102)</f>
        <v>198247207.34</v>
      </c>
      <c r="N103" s="127"/>
    </row>
    <row r="104" spans="1:14" ht="12.75" customHeight="1">
      <c r="A104" s="157" t="str">
        <f>head27a</f>
        <v>References</v>
      </c>
      <c r="B104" s="93"/>
      <c r="C104" s="96"/>
      <c r="D104" s="96"/>
      <c r="E104" s="96"/>
      <c r="F104" s="96"/>
      <c r="G104" s="96"/>
      <c r="H104" s="96"/>
      <c r="I104" s="96"/>
      <c r="J104" s="96"/>
      <c r="K104" s="96"/>
      <c r="L104" s="96"/>
      <c r="M104" s="96"/>
      <c r="N104" s="127"/>
    </row>
    <row r="105" spans="1:14" ht="12.75" customHeight="1">
      <c r="A105" s="99" t="s">
        <v>1342</v>
      </c>
      <c r="B105" s="93"/>
      <c r="C105" s="96"/>
      <c r="D105" s="96"/>
      <c r="E105" s="96"/>
      <c r="F105" s="96"/>
      <c r="G105" s="96"/>
      <c r="H105" s="96"/>
      <c r="I105" s="96"/>
      <c r="J105" s="96"/>
      <c r="K105" s="96"/>
      <c r="L105" s="96"/>
      <c r="M105" s="96"/>
    </row>
    <row r="106" spans="1:14" ht="12.75" customHeight="1">
      <c r="A106" s="99" t="s">
        <v>1343</v>
      </c>
      <c r="B106" s="93"/>
      <c r="C106" s="96"/>
      <c r="D106" s="96"/>
      <c r="E106" s="96"/>
      <c r="F106" s="96"/>
      <c r="G106" s="96"/>
      <c r="H106" s="96"/>
      <c r="I106" s="96"/>
      <c r="J106" s="96"/>
      <c r="K106" s="96"/>
      <c r="L106" s="96"/>
      <c r="M106" s="96"/>
    </row>
    <row r="107" spans="1:14" ht="12.75" customHeight="1">
      <c r="A107" s="99" t="s">
        <v>1344</v>
      </c>
      <c r="B107" s="93"/>
      <c r="C107" s="96"/>
      <c r="D107" s="96"/>
      <c r="E107" s="96"/>
      <c r="F107" s="96"/>
      <c r="G107" s="96"/>
      <c r="H107" s="96"/>
      <c r="I107" s="96"/>
      <c r="J107" s="96"/>
      <c r="K107" s="96"/>
      <c r="L107" s="96"/>
      <c r="M107" s="96"/>
    </row>
    <row r="108" spans="1:14" ht="12.75" customHeight="1">
      <c r="A108" s="99" t="s">
        <v>1345</v>
      </c>
      <c r="B108" s="93"/>
      <c r="C108" s="96"/>
      <c r="D108" s="96"/>
      <c r="E108" s="96"/>
      <c r="F108" s="96"/>
      <c r="G108" s="96"/>
      <c r="H108" s="96"/>
      <c r="I108" s="96"/>
      <c r="J108" s="96"/>
      <c r="K108" s="96"/>
      <c r="L108" s="96"/>
      <c r="M108" s="96"/>
    </row>
    <row r="109" spans="1:14" ht="12.75" customHeight="1">
      <c r="A109" s="99" t="s">
        <v>1346</v>
      </c>
      <c r="B109" s="93"/>
      <c r="C109" s="96"/>
      <c r="D109" s="96"/>
      <c r="E109" s="96"/>
      <c r="F109" s="96"/>
      <c r="G109" s="96"/>
      <c r="H109" s="96"/>
      <c r="I109" s="96"/>
      <c r="J109" s="96"/>
      <c r="K109" s="96"/>
      <c r="L109" s="96"/>
      <c r="M109" s="96"/>
    </row>
    <row r="110" spans="1:14" ht="12.75" customHeight="1">
      <c r="A110" s="99" t="s">
        <v>162</v>
      </c>
      <c r="B110" s="99"/>
      <c r="C110" s="99"/>
      <c r="D110" s="99"/>
      <c r="E110" s="99"/>
      <c r="F110" s="99"/>
      <c r="G110" s="99"/>
      <c r="H110" s="99"/>
      <c r="I110" s="99"/>
      <c r="J110" s="99"/>
      <c r="K110" s="99"/>
      <c r="L110" s="99"/>
      <c r="M110" s="99"/>
      <c r="N110" s="54"/>
    </row>
    <row r="111" spans="1:14" ht="24.95" customHeight="1">
      <c r="A111" s="1318" t="s">
        <v>1347</v>
      </c>
      <c r="B111" s="1318"/>
      <c r="C111" s="1318"/>
      <c r="D111" s="1318"/>
      <c r="E111" s="1318"/>
      <c r="F111" s="1318"/>
      <c r="G111" s="1318"/>
      <c r="H111" s="1318"/>
      <c r="I111" s="1318"/>
      <c r="J111" s="1318"/>
      <c r="K111" s="1318"/>
      <c r="L111" s="1318"/>
      <c r="M111" s="1318"/>
      <c r="N111" s="54"/>
    </row>
    <row r="112" spans="1:14" ht="12.75" customHeight="1">
      <c r="A112" s="99" t="s">
        <v>1348</v>
      </c>
      <c r="B112" s="99"/>
      <c r="C112" s="99"/>
      <c r="D112" s="99"/>
      <c r="E112" s="99"/>
      <c r="F112" s="99"/>
      <c r="G112" s="99"/>
      <c r="H112" s="99"/>
      <c r="I112" s="99"/>
      <c r="J112" s="99"/>
      <c r="K112" s="99"/>
      <c r="L112" s="99"/>
      <c r="M112" s="99"/>
      <c r="N112" s="54"/>
    </row>
    <row r="113" spans="1:14" ht="12.75" customHeight="1">
      <c r="A113" s="99" t="s">
        <v>1349</v>
      </c>
      <c r="B113" s="99"/>
      <c r="C113" s="99"/>
      <c r="D113" s="99"/>
      <c r="E113" s="99"/>
      <c r="F113" s="99"/>
      <c r="G113" s="99"/>
      <c r="H113" s="99"/>
      <c r="I113" s="99"/>
      <c r="J113" s="99"/>
      <c r="K113" s="99"/>
      <c r="L113" s="99"/>
      <c r="M113" s="99"/>
      <c r="N113" s="54"/>
    </row>
    <row r="114" spans="1:14" ht="12.75" customHeight="1">
      <c r="A114" s="99" t="s">
        <v>1350</v>
      </c>
      <c r="B114" s="93"/>
      <c r="C114" s="96"/>
      <c r="D114" s="96"/>
      <c r="E114" s="96"/>
      <c r="F114" s="96"/>
      <c r="G114" s="96"/>
      <c r="H114" s="96"/>
      <c r="I114" s="96"/>
      <c r="J114" s="96"/>
      <c r="K114" s="96"/>
      <c r="L114" s="96"/>
      <c r="M114" s="96"/>
      <c r="N114" s="53"/>
    </row>
    <row r="115" spans="1:14" ht="38.25" customHeight="1">
      <c r="A115" s="1318" t="s">
        <v>1363</v>
      </c>
      <c r="B115" s="1318"/>
      <c r="C115" s="1318"/>
      <c r="D115" s="1318"/>
      <c r="E115" s="1318"/>
      <c r="F115" s="1318"/>
      <c r="G115" s="1318"/>
      <c r="H115" s="1318"/>
      <c r="I115" s="1318"/>
      <c r="J115" s="1318"/>
      <c r="K115" s="1318"/>
      <c r="L115" s="1318"/>
      <c r="M115" s="1318"/>
      <c r="N115" s="53"/>
    </row>
    <row r="116" spans="1:14" ht="12.75" customHeight="1">
      <c r="A116" s="99" t="s">
        <v>1364</v>
      </c>
      <c r="B116" s="93"/>
      <c r="C116" s="96"/>
      <c r="D116" s="96"/>
      <c r="E116" s="96"/>
      <c r="F116" s="96"/>
      <c r="G116" s="96"/>
      <c r="H116" s="96"/>
      <c r="I116" s="96"/>
      <c r="J116" s="96"/>
      <c r="K116" s="96"/>
      <c r="L116" s="96"/>
      <c r="M116" s="96"/>
      <c r="N116" s="53"/>
    </row>
    <row r="117" spans="1:14" ht="12.75" customHeight="1">
      <c r="A117" s="99" t="s">
        <v>1365</v>
      </c>
      <c r="B117" s="100"/>
      <c r="C117" s="100"/>
      <c r="D117" s="100"/>
      <c r="E117" s="100"/>
      <c r="F117" s="100"/>
      <c r="G117" s="100"/>
      <c r="H117" s="100"/>
      <c r="I117" s="100"/>
      <c r="J117" s="100"/>
      <c r="K117" s="100"/>
      <c r="L117" s="100"/>
      <c r="M117" s="100"/>
      <c r="N117" s="54"/>
    </row>
    <row r="118" spans="1:14" ht="11.25" customHeight="1">
      <c r="B118" s="5"/>
    </row>
    <row r="119" spans="1:14" ht="11.25" customHeight="1">
      <c r="B119" s="5"/>
    </row>
    <row r="120" spans="1:14" ht="11.25" customHeight="1">
      <c r="B120" s="5"/>
    </row>
    <row r="121" spans="1:14" ht="11.25" customHeight="1">
      <c r="B121" s="5"/>
    </row>
    <row r="122" spans="1:14" ht="11.25" customHeight="1">
      <c r="B122" s="5"/>
    </row>
    <row r="123" spans="1:14" ht="11.25" customHeight="1">
      <c r="B123" s="5"/>
    </row>
    <row r="124" spans="1:14" ht="11.25" customHeight="1">
      <c r="B124" s="5"/>
    </row>
    <row r="125" spans="1:14" ht="11.25" customHeight="1">
      <c r="B125" s="5"/>
    </row>
    <row r="126" spans="1:14" ht="11.25" customHeight="1">
      <c r="B126" s="5"/>
    </row>
    <row r="127" spans="1:14" ht="11.25" customHeight="1">
      <c r="B127" s="5"/>
    </row>
    <row r="128" spans="1:14" ht="11.25" customHeight="1">
      <c r="B128" s="5"/>
    </row>
    <row r="129" spans="2:2" ht="11.25" customHeight="1">
      <c r="B129" s="5"/>
    </row>
    <row r="130" spans="2:2" ht="11.25" customHeight="1">
      <c r="B130" s="5"/>
    </row>
    <row r="131" spans="2:2" ht="11.25" customHeight="1">
      <c r="B131" s="5"/>
    </row>
    <row r="132" spans="2:2" ht="11.25" customHeight="1">
      <c r="B132" s="5"/>
    </row>
    <row r="133" spans="2:2" ht="11.25" customHeight="1">
      <c r="B133" s="5"/>
    </row>
    <row r="134" spans="2:2" ht="11.25" customHeight="1">
      <c r="B134" s="5"/>
    </row>
    <row r="135" spans="2:2" ht="11.25" customHeight="1">
      <c r="B135" s="5"/>
    </row>
    <row r="136" spans="2:2" ht="11.25" customHeight="1">
      <c r="B136" s="5"/>
    </row>
    <row r="137" spans="2:2" ht="11.25" customHeight="1">
      <c r="B137" s="5"/>
    </row>
    <row r="138" spans="2:2" ht="11.25" customHeight="1">
      <c r="B138" s="5"/>
    </row>
    <row r="139" spans="2:2" ht="11.25" customHeight="1">
      <c r="B139" s="5"/>
    </row>
    <row r="140" spans="2:2" ht="11.25" customHeight="1">
      <c r="B140" s="5"/>
    </row>
    <row r="141" spans="2:2" ht="11.25" customHeight="1">
      <c r="B141" s="5"/>
    </row>
    <row r="142" spans="2:2" ht="11.25" customHeight="1">
      <c r="B142" s="5"/>
    </row>
    <row r="143" spans="2:2" ht="11.25" customHeight="1">
      <c r="B143" s="5"/>
    </row>
    <row r="144" spans="2:2" ht="11.25" customHeight="1">
      <c r="B144" s="5"/>
    </row>
    <row r="145" spans="2:2" ht="11.25" customHeight="1">
      <c r="B145" s="5"/>
    </row>
    <row r="146" spans="2:2" ht="11.25" customHeight="1">
      <c r="B146" s="5"/>
    </row>
    <row r="147" spans="2:2" ht="11.25" customHeight="1">
      <c r="B147" s="5"/>
    </row>
    <row r="148" spans="2:2" ht="11.25" customHeight="1">
      <c r="B148" s="5"/>
    </row>
    <row r="149" spans="2:2" ht="11.25" customHeight="1">
      <c r="B149" s="5"/>
    </row>
    <row r="150" spans="2:2" ht="11.25" customHeight="1">
      <c r="B150" s="5"/>
    </row>
    <row r="151" spans="2:2" ht="11.25" customHeight="1">
      <c r="B151" s="5"/>
    </row>
    <row r="152" spans="2:2" ht="11.25" customHeight="1">
      <c r="B152" s="5"/>
    </row>
    <row r="153" spans="2:2" ht="11.25" customHeight="1">
      <c r="B153" s="5"/>
    </row>
    <row r="154" spans="2:2" ht="11.25" customHeight="1">
      <c r="B154" s="5"/>
    </row>
    <row r="155" spans="2:2" ht="11.25" customHeight="1">
      <c r="B155" s="5"/>
    </row>
    <row r="156" spans="2:2" ht="11.25" customHeight="1">
      <c r="B156" s="5"/>
    </row>
    <row r="157" spans="2:2" ht="11.25" customHeight="1">
      <c r="B157" s="5"/>
    </row>
    <row r="158" spans="2:2" ht="11.25" customHeight="1">
      <c r="B158" s="5"/>
    </row>
    <row r="159" spans="2:2" ht="11.25" customHeight="1">
      <c r="B159" s="5"/>
    </row>
    <row r="160" spans="2:2" ht="11.25" customHeight="1">
      <c r="B160" s="5"/>
    </row>
    <row r="161" spans="2:2" ht="11.25" customHeight="1">
      <c r="B161" s="5"/>
    </row>
    <row r="162" spans="2:2" ht="11.25" customHeight="1">
      <c r="B162" s="5"/>
    </row>
    <row r="163" spans="2:2" ht="11.25" customHeight="1">
      <c r="B163" s="5"/>
    </row>
    <row r="164" spans="2:2" ht="11.25" customHeight="1">
      <c r="B164" s="5"/>
    </row>
    <row r="165" spans="2:2" ht="11.25" customHeight="1">
      <c r="B165" s="5"/>
    </row>
    <row r="166" spans="2:2" ht="11.25" customHeight="1">
      <c r="B166" s="5"/>
    </row>
    <row r="167" spans="2:2" ht="11.25" customHeight="1">
      <c r="B167" s="5"/>
    </row>
    <row r="168" spans="2:2" ht="11.25" customHeight="1">
      <c r="B168" s="5"/>
    </row>
    <row r="169" spans="2:2" ht="11.25" customHeight="1">
      <c r="B169" s="5"/>
    </row>
    <row r="170" spans="2:2" ht="11.25" customHeight="1">
      <c r="B170" s="5"/>
    </row>
    <row r="171" spans="2:2" ht="11.25" customHeight="1">
      <c r="B171" s="5"/>
    </row>
    <row r="172" spans="2:2" ht="11.25" customHeight="1">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row r="218" spans="2:2">
      <c r="B218" s="5"/>
    </row>
    <row r="219" spans="2:2">
      <c r="B219" s="5"/>
    </row>
  </sheetData>
  <mergeCells count="5">
    <mergeCell ref="A115:M115"/>
    <mergeCell ref="A111:M111"/>
    <mergeCell ref="A2:A4"/>
    <mergeCell ref="B2:B4"/>
    <mergeCell ref="C2:K2"/>
  </mergeCells>
  <phoneticPr fontId="17"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sheetPr codeName="Sheet92" enableFormatConditionsCalculation="0">
    <tabColor indexed="42"/>
    <pageSetUpPr fitToPage="1"/>
  </sheetPr>
  <dimension ref="A1:N91"/>
  <sheetViews>
    <sheetView showGridLines="0" workbookViewId="0">
      <pane xSplit="2" ySplit="5" topLeftCell="C72" activePane="bottomRight" state="frozen"/>
      <selection activeCell="M17" sqref="M17:M63"/>
      <selection pane="topRight" activeCell="M17" sqref="M17:M63"/>
      <selection pane="bottomLeft" activeCell="M17" sqref="M17:M63"/>
      <selection pane="bottomRight" activeCell="L50" sqref="L50"/>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"&amp;ADJB2&amp;" - "&amp;Date</f>
        <v>LIM333 Greater Tzaneen - Supporting Table SB2 Consolidated Supporting detail to 'Financial Position Budget' - 26 FEBRUARY 2014</v>
      </c>
      <c r="B1" s="5"/>
      <c r="C1" s="58"/>
    </row>
    <row r="2" spans="1:14"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4</v>
      </c>
      <c r="E4" s="15">
        <v>5</v>
      </c>
      <c r="F4" s="15">
        <v>6</v>
      </c>
      <c r="G4" s="15">
        <v>7</v>
      </c>
      <c r="H4" s="15">
        <v>8</v>
      </c>
      <c r="I4" s="15">
        <v>9</v>
      </c>
      <c r="J4" s="15">
        <v>10</v>
      </c>
      <c r="K4" s="15">
        <v>11</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c r="A6" s="298" t="s">
        <v>727</v>
      </c>
      <c r="B6" s="299"/>
      <c r="C6" s="300"/>
      <c r="D6" s="289"/>
      <c r="E6" s="289"/>
      <c r="F6" s="301"/>
      <c r="G6" s="301"/>
      <c r="H6" s="301"/>
      <c r="I6" s="302"/>
      <c r="J6" s="302"/>
      <c r="K6" s="302"/>
      <c r="L6" s="302"/>
      <c r="M6" s="303"/>
      <c r="N6" s="127"/>
    </row>
    <row r="7" spans="1:14" ht="12.75" customHeight="1">
      <c r="A7" s="125" t="s">
        <v>745</v>
      </c>
      <c r="B7" s="73"/>
      <c r="C7" s="74"/>
      <c r="D7" s="75"/>
      <c r="E7" s="75"/>
      <c r="F7" s="75"/>
      <c r="G7" s="75"/>
      <c r="H7" s="75"/>
      <c r="I7" s="75"/>
      <c r="J7" s="75"/>
      <c r="K7" s="75"/>
      <c r="L7" s="75"/>
      <c r="M7" s="76"/>
      <c r="N7" s="127"/>
    </row>
    <row r="8" spans="1:14" ht="12.75" customHeight="1">
      <c r="A8" s="128" t="s">
        <v>1366</v>
      </c>
      <c r="B8" s="73"/>
      <c r="C8" s="129"/>
      <c r="D8" s="109"/>
      <c r="E8" s="109"/>
      <c r="F8" s="109"/>
      <c r="G8" s="109"/>
      <c r="H8" s="109"/>
      <c r="I8" s="109"/>
      <c r="J8" s="75">
        <f>SUM(E8:I8)</f>
        <v>0</v>
      </c>
      <c r="K8" s="75">
        <f>IF(D8=0,C8+J8,D8+J8)</f>
        <v>0</v>
      </c>
      <c r="L8" s="109"/>
      <c r="M8" s="110"/>
      <c r="N8" s="127"/>
    </row>
    <row r="9" spans="1:14" ht="12.75" customHeight="1">
      <c r="A9" s="128" t="s">
        <v>788</v>
      </c>
      <c r="B9" s="73"/>
      <c r="C9" s="129"/>
      <c r="D9" s="109"/>
      <c r="E9" s="109"/>
      <c r="F9" s="109"/>
      <c r="G9" s="109"/>
      <c r="H9" s="109"/>
      <c r="I9" s="109"/>
      <c r="J9" s="75">
        <f>SUM(E9:I9)</f>
        <v>0</v>
      </c>
      <c r="K9" s="75">
        <f>IF(D9=0,C9+J9,D9+J9)</f>
        <v>0</v>
      </c>
      <c r="L9" s="109"/>
      <c r="M9" s="110"/>
      <c r="N9" s="127"/>
    </row>
    <row r="10" spans="1:14" ht="12.75" customHeight="1">
      <c r="A10" s="138" t="str">
        <f>"Total "&amp;A7</f>
        <v>Total Call investment deposits</v>
      </c>
      <c r="B10" s="73">
        <v>1</v>
      </c>
      <c r="C10" s="304">
        <f t="shared" ref="C10:M10" si="0">SUM(C8:C9)</f>
        <v>0</v>
      </c>
      <c r="D10" s="150">
        <f t="shared" si="0"/>
        <v>0</v>
      </c>
      <c r="E10" s="150">
        <f t="shared" si="0"/>
        <v>0</v>
      </c>
      <c r="F10" s="150">
        <f t="shared" si="0"/>
        <v>0</v>
      </c>
      <c r="G10" s="150">
        <f t="shared" si="0"/>
        <v>0</v>
      </c>
      <c r="H10" s="150">
        <f t="shared" si="0"/>
        <v>0</v>
      </c>
      <c r="I10" s="150">
        <f t="shared" si="0"/>
        <v>0</v>
      </c>
      <c r="J10" s="150">
        <f t="shared" si="0"/>
        <v>0</v>
      </c>
      <c r="K10" s="150">
        <f t="shared" si="0"/>
        <v>0</v>
      </c>
      <c r="L10" s="150">
        <f t="shared" si="0"/>
        <v>0</v>
      </c>
      <c r="M10" s="151">
        <f t="shared" si="0"/>
        <v>0</v>
      </c>
      <c r="N10" s="127"/>
    </row>
    <row r="11" spans="1:14" ht="12.75" customHeight="1">
      <c r="A11" s="125" t="s">
        <v>746</v>
      </c>
      <c r="B11" s="73"/>
      <c r="C11" s="74"/>
      <c r="D11" s="75"/>
      <c r="E11" s="75"/>
      <c r="F11" s="75"/>
      <c r="G11" s="75"/>
      <c r="H11" s="75"/>
      <c r="I11" s="75"/>
      <c r="J11" s="75"/>
      <c r="K11" s="75"/>
      <c r="L11" s="75"/>
      <c r="M11" s="76"/>
      <c r="N11" s="127"/>
    </row>
    <row r="12" spans="1:14" ht="12.75" customHeight="1">
      <c r="A12" s="128" t="str">
        <f>A11</f>
        <v>Consumer debtors</v>
      </c>
      <c r="B12" s="73"/>
      <c r="C12" s="1201">
        <v>126008199</v>
      </c>
      <c r="D12" s="1200"/>
      <c r="E12" s="1202"/>
      <c r="F12" s="109"/>
      <c r="G12" s="109"/>
      <c r="H12" s="109"/>
      <c r="I12" s="109"/>
      <c r="J12" s="75">
        <f>SUM(E12:I12)</f>
        <v>0</v>
      </c>
      <c r="K12" s="75">
        <f>IF(D12=0,C12+J12,D12+J12)</f>
        <v>126008199</v>
      </c>
      <c r="L12" s="1200">
        <v>122227953</v>
      </c>
      <c r="M12" s="1202">
        <v>119783393</v>
      </c>
      <c r="N12" s="127"/>
    </row>
    <row r="13" spans="1:14" ht="12.75" customHeight="1">
      <c r="A13" s="128" t="s">
        <v>1367</v>
      </c>
      <c r="B13" s="73"/>
      <c r="C13" s="74">
        <f t="shared" ref="C13:I13" si="1">C19</f>
        <v>76246824</v>
      </c>
      <c r="D13" s="75">
        <f t="shared" si="1"/>
        <v>0</v>
      </c>
      <c r="E13" s="75">
        <f t="shared" si="1"/>
        <v>0</v>
      </c>
      <c r="F13" s="75">
        <f t="shared" si="1"/>
        <v>0</v>
      </c>
      <c r="G13" s="75">
        <f t="shared" si="1"/>
        <v>0</v>
      </c>
      <c r="H13" s="75">
        <f t="shared" si="1"/>
        <v>0</v>
      </c>
      <c r="I13" s="75">
        <f t="shared" si="1"/>
        <v>0</v>
      </c>
      <c r="J13" s="75">
        <f>SUM(E13:I13)</f>
        <v>0</v>
      </c>
      <c r="K13" s="75">
        <f>IF(D13=0,C13+J13,D13+J13)</f>
        <v>76246824</v>
      </c>
      <c r="L13" s="75">
        <f>L19</f>
        <v>73959419</v>
      </c>
      <c r="M13" s="76">
        <f>M19</f>
        <v>72480230</v>
      </c>
      <c r="N13" s="127"/>
    </row>
    <row r="14" spans="1:14" ht="12.75" customHeight="1">
      <c r="A14" s="138" t="str">
        <f>"Total "&amp;A11</f>
        <v>Total Consumer debtors</v>
      </c>
      <c r="B14" s="73">
        <v>1</v>
      </c>
      <c r="C14" s="304">
        <f>C12-C13</f>
        <v>49761375</v>
      </c>
      <c r="D14" s="150">
        <f t="shared" ref="D14:M14" si="2">D12-D13</f>
        <v>0</v>
      </c>
      <c r="E14" s="150">
        <f t="shared" si="2"/>
        <v>0</v>
      </c>
      <c r="F14" s="150">
        <f t="shared" si="2"/>
        <v>0</v>
      </c>
      <c r="G14" s="150">
        <f t="shared" si="2"/>
        <v>0</v>
      </c>
      <c r="H14" s="150">
        <f t="shared" si="2"/>
        <v>0</v>
      </c>
      <c r="I14" s="150">
        <f t="shared" si="2"/>
        <v>0</v>
      </c>
      <c r="J14" s="150">
        <f t="shared" si="2"/>
        <v>0</v>
      </c>
      <c r="K14" s="150">
        <f t="shared" si="2"/>
        <v>49761375</v>
      </c>
      <c r="L14" s="150">
        <f t="shared" si="2"/>
        <v>48268534</v>
      </c>
      <c r="M14" s="151">
        <f t="shared" si="2"/>
        <v>47303163</v>
      </c>
      <c r="N14" s="127"/>
    </row>
    <row r="15" spans="1:14" ht="12.75" customHeight="1">
      <c r="A15" s="125" t="s">
        <v>1368</v>
      </c>
      <c r="B15" s="73"/>
      <c r="C15" s="74"/>
      <c r="D15" s="75"/>
      <c r="E15" s="75"/>
      <c r="F15" s="75"/>
      <c r="G15" s="75"/>
      <c r="H15" s="75"/>
      <c r="I15" s="75"/>
      <c r="J15" s="75"/>
      <c r="K15" s="75"/>
      <c r="L15" s="75"/>
      <c r="M15" s="76"/>
      <c r="N15" s="127"/>
    </row>
    <row r="16" spans="1:14" ht="12.75" customHeight="1">
      <c r="A16" s="128" t="s">
        <v>1369</v>
      </c>
      <c r="B16" s="73"/>
      <c r="C16" s="129">
        <v>82703974</v>
      </c>
      <c r="D16" s="109"/>
      <c r="E16" s="109"/>
      <c r="F16" s="109"/>
      <c r="G16" s="109"/>
      <c r="H16" s="109"/>
      <c r="I16" s="109"/>
      <c r="J16" s="75">
        <f>SUM(E16:I16)</f>
        <v>0</v>
      </c>
      <c r="K16" s="75">
        <f>IF(D16=0,C16+J16,D16+J16)</f>
        <v>82703974</v>
      </c>
      <c r="L16" s="75">
        <f>IF(SUM(L17:L18)=0,0,K19)</f>
        <v>76246824</v>
      </c>
      <c r="M16" s="76">
        <f>IF(SUM(M17:M18)=0,0,L19)</f>
        <v>73959419</v>
      </c>
      <c r="N16" s="127"/>
    </row>
    <row r="17" spans="1:14" ht="12.75" customHeight="1">
      <c r="A17" s="128" t="s">
        <v>1370</v>
      </c>
      <c r="B17" s="73"/>
      <c r="C17" s="129">
        <v>2924536</v>
      </c>
      <c r="D17" s="109"/>
      <c r="E17" s="109"/>
      <c r="F17" s="109"/>
      <c r="G17" s="109"/>
      <c r="H17" s="109"/>
      <c r="I17" s="109"/>
      <c r="J17" s="75">
        <f>SUM(E17:I17)</f>
        <v>0</v>
      </c>
      <c r="K17" s="75">
        <f>IF(D17=0,C17+J17,D17+J17)</f>
        <v>2924536</v>
      </c>
      <c r="L17" s="109">
        <v>3100008</v>
      </c>
      <c r="M17" s="110">
        <v>3255008</v>
      </c>
      <c r="N17" s="127"/>
    </row>
    <row r="18" spans="1:14" ht="12.75" customHeight="1">
      <c r="A18" s="128" t="s">
        <v>1371</v>
      </c>
      <c r="B18" s="73"/>
      <c r="C18" s="129">
        <v>-9381686</v>
      </c>
      <c r="D18" s="109"/>
      <c r="E18" s="109"/>
      <c r="F18" s="109"/>
      <c r="G18" s="109"/>
      <c r="H18" s="109"/>
      <c r="I18" s="109"/>
      <c r="J18" s="75">
        <f>SUM(E18:I18)</f>
        <v>0</v>
      </c>
      <c r="K18" s="75">
        <f>IF(D18=0,C18+J18,D18+J18)</f>
        <v>-9381686</v>
      </c>
      <c r="L18" s="109">
        <v>-5387413</v>
      </c>
      <c r="M18" s="110">
        <v>-4734197</v>
      </c>
      <c r="N18" s="127"/>
    </row>
    <row r="19" spans="1:14" ht="12.75" customHeight="1">
      <c r="A19" s="138" t="s">
        <v>1372</v>
      </c>
      <c r="B19" s="73"/>
      <c r="C19" s="304">
        <f t="shared" ref="C19:I19" si="3">SUM(C16:C18)</f>
        <v>76246824</v>
      </c>
      <c r="D19" s="150">
        <f t="shared" si="3"/>
        <v>0</v>
      </c>
      <c r="E19" s="150">
        <f t="shared" si="3"/>
        <v>0</v>
      </c>
      <c r="F19" s="150">
        <f t="shared" si="3"/>
        <v>0</v>
      </c>
      <c r="G19" s="150">
        <f t="shared" si="3"/>
        <v>0</v>
      </c>
      <c r="H19" s="150">
        <f t="shared" si="3"/>
        <v>0</v>
      </c>
      <c r="I19" s="150">
        <f t="shared" si="3"/>
        <v>0</v>
      </c>
      <c r="J19" s="150">
        <f>J13</f>
        <v>0</v>
      </c>
      <c r="K19" s="150">
        <f>K13</f>
        <v>76246824</v>
      </c>
      <c r="L19" s="150">
        <f>SUM(L16:L18)</f>
        <v>73959419</v>
      </c>
      <c r="M19" s="151">
        <f>SUM(M16:M18)</f>
        <v>72480230</v>
      </c>
      <c r="N19" s="127"/>
    </row>
    <row r="20" spans="1:14" ht="12.75" customHeight="1">
      <c r="A20" s="125" t="s">
        <v>1373</v>
      </c>
      <c r="B20" s="73"/>
      <c r="C20" s="74"/>
      <c r="D20" s="75"/>
      <c r="E20" s="75"/>
      <c r="F20" s="75"/>
      <c r="G20" s="75"/>
      <c r="H20" s="75"/>
      <c r="I20" s="75"/>
      <c r="J20" s="75"/>
      <c r="K20" s="75"/>
      <c r="L20" s="75"/>
      <c r="M20" s="76"/>
      <c r="N20" s="127"/>
    </row>
    <row r="21" spans="1:14" ht="12.75" customHeight="1">
      <c r="A21" s="30" t="s">
        <v>1374</v>
      </c>
      <c r="B21" s="73"/>
      <c r="C21" s="129">
        <v>2268731529</v>
      </c>
      <c r="D21" s="109"/>
      <c r="E21" s="109"/>
      <c r="F21" s="109"/>
      <c r="G21" s="109"/>
      <c r="H21" s="109">
        <f>18350000+2000000</f>
        <v>20350000</v>
      </c>
      <c r="I21" s="109">
        <f>25802614+2300000+3400000</f>
        <v>31502614</v>
      </c>
      <c r="J21" s="75">
        <f>SUM(E21:I21)</f>
        <v>51852614</v>
      </c>
      <c r="K21" s="75">
        <f>IF(D21=0,C21+J21,D21+J21)</f>
        <v>2320584143</v>
      </c>
      <c r="L21" s="109">
        <v>2441219105</v>
      </c>
      <c r="M21" s="109">
        <v>2662945652</v>
      </c>
      <c r="N21" s="127"/>
    </row>
    <row r="22" spans="1:14" ht="12.75" customHeight="1">
      <c r="A22" s="30" t="s">
        <v>1375</v>
      </c>
      <c r="B22" s="73">
        <v>2</v>
      </c>
      <c r="C22" s="129"/>
      <c r="D22" s="109"/>
      <c r="E22" s="109"/>
      <c r="F22" s="109"/>
      <c r="G22" s="109"/>
      <c r="H22" s="109"/>
      <c r="I22" s="109"/>
      <c r="J22" s="75">
        <f>SUM(E22:I22)</f>
        <v>0</v>
      </c>
      <c r="K22" s="75">
        <f>IF(D22=0,C22+J22,D22+J22)</f>
        <v>0</v>
      </c>
      <c r="L22" s="109"/>
      <c r="M22" s="109"/>
      <c r="N22" s="127"/>
    </row>
    <row r="23" spans="1:14" ht="12.75" customHeight="1">
      <c r="A23" s="858" t="s">
        <v>1376</v>
      </c>
      <c r="B23" s="73"/>
      <c r="C23" s="129">
        <v>486676720</v>
      </c>
      <c r="D23" s="109"/>
      <c r="E23" s="109"/>
      <c r="F23" s="109"/>
      <c r="G23" s="109"/>
      <c r="H23" s="109"/>
      <c r="I23" s="109"/>
      <c r="J23" s="75">
        <f>SUM(E23:I23)</f>
        <v>0</v>
      </c>
      <c r="K23" s="75">
        <f>IF(D23=0,C23+J23,D23+J23)</f>
        <v>486676720</v>
      </c>
      <c r="L23" s="109">
        <v>487676620</v>
      </c>
      <c r="M23" s="109">
        <v>488677820</v>
      </c>
      <c r="N23" s="127"/>
    </row>
    <row r="24" spans="1:14" ht="12.75" customHeight="1">
      <c r="A24" s="305" t="str">
        <f>"Total "&amp;A20</f>
        <v>Total Property, plant &amp; equipment</v>
      </c>
      <c r="B24" s="153">
        <v>1</v>
      </c>
      <c r="C24" s="80">
        <f>SUM(C21:C22)-C23</f>
        <v>1782054809</v>
      </c>
      <c r="D24" s="81">
        <f t="shared" ref="D24:K24" si="4">SUM(D21:D22)-D23</f>
        <v>0</v>
      </c>
      <c r="E24" s="81">
        <f t="shared" si="4"/>
        <v>0</v>
      </c>
      <c r="F24" s="81">
        <f t="shared" si="4"/>
        <v>0</v>
      </c>
      <c r="G24" s="81">
        <f t="shared" si="4"/>
        <v>0</v>
      </c>
      <c r="H24" s="81">
        <f t="shared" si="4"/>
        <v>20350000</v>
      </c>
      <c r="I24" s="81">
        <f t="shared" si="4"/>
        <v>31502614</v>
      </c>
      <c r="J24" s="81">
        <f t="shared" si="4"/>
        <v>51852614</v>
      </c>
      <c r="K24" s="81">
        <f t="shared" si="4"/>
        <v>1833907423</v>
      </c>
      <c r="L24" s="81">
        <f>SUM(L21:L22)-L23</f>
        <v>1953542485</v>
      </c>
      <c r="M24" s="82">
        <f>SUM(M21:M22)-M23</f>
        <v>2174267832</v>
      </c>
      <c r="N24" s="127"/>
    </row>
    <row r="25" spans="1:14" ht="4.5" customHeight="1">
      <c r="A25" s="138"/>
      <c r="B25" s="73"/>
      <c r="C25" s="139"/>
      <c r="D25" s="140"/>
      <c r="E25" s="140"/>
      <c r="F25" s="140"/>
      <c r="G25" s="140"/>
      <c r="H25" s="140"/>
      <c r="I25" s="140"/>
      <c r="J25" s="140"/>
      <c r="K25" s="140"/>
      <c r="L25" s="140"/>
      <c r="M25" s="141"/>
      <c r="N25" s="127"/>
    </row>
    <row r="26" spans="1:14" ht="12.75" customHeight="1">
      <c r="A26" s="138" t="s">
        <v>760</v>
      </c>
      <c r="B26" s="73"/>
      <c r="C26" s="139"/>
      <c r="D26" s="140"/>
      <c r="E26" s="140"/>
      <c r="F26" s="140"/>
      <c r="G26" s="140"/>
      <c r="H26" s="140"/>
      <c r="I26" s="140"/>
      <c r="J26" s="140"/>
      <c r="K26" s="140"/>
      <c r="L26" s="140"/>
      <c r="M26" s="141"/>
      <c r="N26" s="127"/>
    </row>
    <row r="27" spans="1:14" ht="12.75" customHeight="1">
      <c r="A27" s="125" t="s">
        <v>1377</v>
      </c>
      <c r="B27" s="73"/>
      <c r="C27" s="74"/>
      <c r="D27" s="75"/>
      <c r="E27" s="75"/>
      <c r="F27" s="75"/>
      <c r="G27" s="75"/>
      <c r="H27" s="75"/>
      <c r="I27" s="75"/>
      <c r="J27" s="75"/>
      <c r="K27" s="75"/>
      <c r="L27" s="75"/>
      <c r="M27" s="76"/>
      <c r="N27" s="127"/>
    </row>
    <row r="28" spans="1:14" ht="12.75" customHeight="1">
      <c r="A28" s="128" t="s">
        <v>1378</v>
      </c>
      <c r="B28" s="73"/>
      <c r="C28" s="129"/>
      <c r="D28" s="109"/>
      <c r="E28" s="109"/>
      <c r="F28" s="109"/>
      <c r="G28" s="109"/>
      <c r="H28" s="109"/>
      <c r="I28" s="109"/>
      <c r="J28" s="75">
        <f>SUM(E28:I28)</f>
        <v>0</v>
      </c>
      <c r="K28" s="75">
        <f>IF(D28=0,C28+J28,D28+J28)</f>
        <v>0</v>
      </c>
      <c r="L28" s="109"/>
      <c r="M28" s="110"/>
      <c r="N28" s="127"/>
    </row>
    <row r="29" spans="1:14" ht="12.75" customHeight="1">
      <c r="A29" s="128" t="s">
        <v>1379</v>
      </c>
      <c r="B29" s="73"/>
      <c r="C29" s="129">
        <v>11790493</v>
      </c>
      <c r="D29" s="109"/>
      <c r="E29" s="109"/>
      <c r="F29" s="109"/>
      <c r="G29" s="109"/>
      <c r="H29" s="109"/>
      <c r="I29" s="109"/>
      <c r="J29" s="75">
        <f>SUM(E29:I29)</f>
        <v>0</v>
      </c>
      <c r="K29" s="75">
        <f>IF(D29=0,C29+J29,D29+J29)</f>
        <v>11790493</v>
      </c>
      <c r="L29" s="109">
        <v>12618493</v>
      </c>
      <c r="M29" s="109">
        <v>13646493</v>
      </c>
      <c r="N29" s="127"/>
    </row>
    <row r="30" spans="1:14" ht="12.75" customHeight="1">
      <c r="A30" s="138" t="str">
        <f>"Total "&amp;A27</f>
        <v>Total Current liabilities - Borrowing</v>
      </c>
      <c r="B30" s="73"/>
      <c r="C30" s="304">
        <f t="shared" ref="C30:M30" si="5">SUM(C28:C29)</f>
        <v>11790493</v>
      </c>
      <c r="D30" s="150">
        <f t="shared" si="5"/>
        <v>0</v>
      </c>
      <c r="E30" s="150">
        <f t="shared" si="5"/>
        <v>0</v>
      </c>
      <c r="F30" s="150">
        <f t="shared" si="5"/>
        <v>0</v>
      </c>
      <c r="G30" s="150">
        <f t="shared" si="5"/>
        <v>0</v>
      </c>
      <c r="H30" s="150">
        <f t="shared" si="5"/>
        <v>0</v>
      </c>
      <c r="I30" s="150">
        <f t="shared" si="5"/>
        <v>0</v>
      </c>
      <c r="J30" s="150">
        <f t="shared" si="5"/>
        <v>0</v>
      </c>
      <c r="K30" s="150">
        <f t="shared" si="5"/>
        <v>11790493</v>
      </c>
      <c r="L30" s="150">
        <f t="shared" si="5"/>
        <v>12618493</v>
      </c>
      <c r="M30" s="151">
        <f t="shared" si="5"/>
        <v>13646493</v>
      </c>
      <c r="N30" s="127"/>
    </row>
    <row r="31" spans="1:14" ht="12.75" customHeight="1">
      <c r="A31" s="125" t="s">
        <v>764</v>
      </c>
      <c r="B31" s="73"/>
      <c r="C31" s="74"/>
      <c r="D31" s="75"/>
      <c r="E31" s="75"/>
      <c r="F31" s="75"/>
      <c r="G31" s="75"/>
      <c r="H31" s="75"/>
      <c r="I31" s="75"/>
      <c r="J31" s="75"/>
      <c r="K31" s="75"/>
      <c r="L31" s="75"/>
      <c r="M31" s="76"/>
      <c r="N31" s="127"/>
    </row>
    <row r="32" spans="1:14" ht="12.75" customHeight="1">
      <c r="A32" s="30" t="s">
        <v>1380</v>
      </c>
      <c r="B32" s="73"/>
      <c r="C32" s="129">
        <v>97443246</v>
      </c>
      <c r="D32" s="109"/>
      <c r="E32" s="109"/>
      <c r="F32" s="109"/>
      <c r="G32" s="109"/>
      <c r="H32" s="109"/>
      <c r="I32" s="109"/>
      <c r="J32" s="75">
        <f>SUM(E32:I32)</f>
        <v>0</v>
      </c>
      <c r="K32" s="75">
        <f>IF(D32=0,C32+J32,D32+J32)</f>
        <v>97443246</v>
      </c>
      <c r="L32" s="109">
        <v>100459367</v>
      </c>
      <c r="M32" s="109">
        <v>103571542</v>
      </c>
      <c r="N32" s="127"/>
    </row>
    <row r="33" spans="1:14" ht="12.75" customHeight="1">
      <c r="A33" s="30" t="s">
        <v>1381</v>
      </c>
      <c r="B33" s="73"/>
      <c r="C33" s="129">
        <v>15000000</v>
      </c>
      <c r="D33" s="109"/>
      <c r="E33" s="109"/>
      <c r="F33" s="109"/>
      <c r="G33" s="109"/>
      <c r="H33" s="109"/>
      <c r="I33" s="109">
        <v>20969000</v>
      </c>
      <c r="J33" s="75">
        <f>SUM(E33:I33)</f>
        <v>20969000</v>
      </c>
      <c r="K33" s="75">
        <f>IF(D33=0,C33+J33,D33+J33)</f>
        <v>35969000</v>
      </c>
      <c r="L33" s="109">
        <v>35969000</v>
      </c>
      <c r="M33" s="109">
        <v>35969000</v>
      </c>
      <c r="N33" s="127"/>
    </row>
    <row r="34" spans="1:14" ht="12.75" customHeight="1">
      <c r="A34" s="30" t="s">
        <v>1382</v>
      </c>
      <c r="B34" s="73"/>
      <c r="C34" s="129">
        <v>26777908</v>
      </c>
      <c r="D34" s="109"/>
      <c r="E34" s="109"/>
      <c r="F34" s="109"/>
      <c r="G34" s="109"/>
      <c r="H34" s="109"/>
      <c r="I34" s="109"/>
      <c r="J34" s="75">
        <f>SUM(E34:I34)</f>
        <v>0</v>
      </c>
      <c r="K34" s="75">
        <f>IF(D34=0,C34+J34,D34+J34)</f>
        <v>26777908</v>
      </c>
      <c r="L34" s="109">
        <v>27313466</v>
      </c>
      <c r="M34" s="109">
        <v>27859735</v>
      </c>
      <c r="N34" s="127"/>
    </row>
    <row r="35" spans="1:14" ht="12.75" customHeight="1">
      <c r="A35" s="138" t="str">
        <f>"Total "&amp;A31</f>
        <v>Total Trade and other payables</v>
      </c>
      <c r="B35" s="73">
        <v>1</v>
      </c>
      <c r="C35" s="304">
        <f t="shared" ref="C35:M35" si="6">SUM(C32:C34)</f>
        <v>139221154</v>
      </c>
      <c r="D35" s="150">
        <f t="shared" si="6"/>
        <v>0</v>
      </c>
      <c r="E35" s="150">
        <f t="shared" si="6"/>
        <v>0</v>
      </c>
      <c r="F35" s="150">
        <f t="shared" si="6"/>
        <v>0</v>
      </c>
      <c r="G35" s="150">
        <f t="shared" si="6"/>
        <v>0</v>
      </c>
      <c r="H35" s="150">
        <f t="shared" si="6"/>
        <v>0</v>
      </c>
      <c r="I35" s="150">
        <f t="shared" si="6"/>
        <v>20969000</v>
      </c>
      <c r="J35" s="150">
        <f t="shared" si="6"/>
        <v>20969000</v>
      </c>
      <c r="K35" s="150">
        <f t="shared" si="6"/>
        <v>160190154</v>
      </c>
      <c r="L35" s="150">
        <f t="shared" si="6"/>
        <v>163741833</v>
      </c>
      <c r="M35" s="151">
        <f t="shared" si="6"/>
        <v>167400277</v>
      </c>
      <c r="N35" s="127"/>
    </row>
    <row r="36" spans="1:14" ht="12.75" customHeight="1">
      <c r="A36" s="125" t="s">
        <v>1383</v>
      </c>
      <c r="B36" s="73"/>
      <c r="C36" s="74"/>
      <c r="D36" s="75"/>
      <c r="E36" s="75"/>
      <c r="F36" s="75"/>
      <c r="G36" s="75"/>
      <c r="H36" s="75"/>
      <c r="I36" s="75"/>
      <c r="J36" s="75"/>
      <c r="K36" s="75"/>
      <c r="L36" s="75"/>
      <c r="M36" s="76"/>
      <c r="N36" s="127"/>
    </row>
    <row r="37" spans="1:14" ht="12.75" customHeight="1">
      <c r="A37" s="128" t="s">
        <v>615</v>
      </c>
      <c r="B37" s="73">
        <v>3</v>
      </c>
      <c r="C37" s="129">
        <v>120018468</v>
      </c>
      <c r="D37" s="109"/>
      <c r="E37" s="109"/>
      <c r="F37" s="109"/>
      <c r="G37" s="109"/>
      <c r="H37" s="109"/>
      <c r="I37" s="109"/>
      <c r="J37" s="75">
        <f>SUM(E37:I37)</f>
        <v>0</v>
      </c>
      <c r="K37" s="75">
        <f>IF(D37=0,C37+J37,D37+J37)</f>
        <v>120018468</v>
      </c>
      <c r="L37" s="109">
        <v>107399975</v>
      </c>
      <c r="M37" s="109">
        <v>93753482</v>
      </c>
      <c r="N37" s="127"/>
    </row>
    <row r="38" spans="1:14" ht="12.75" customHeight="1">
      <c r="A38" s="128" t="s">
        <v>1384</v>
      </c>
      <c r="B38" s="73"/>
      <c r="C38" s="129">
        <v>4421746</v>
      </c>
      <c r="D38" s="109"/>
      <c r="E38" s="109"/>
      <c r="F38" s="109"/>
      <c r="G38" s="109"/>
      <c r="H38" s="109"/>
      <c r="I38" s="109"/>
      <c r="J38" s="75">
        <f>SUM(E38:I38)</f>
        <v>0</v>
      </c>
      <c r="K38" s="75">
        <f>IF(D38=0,C38+J38,D38+J38)</f>
        <v>4421746</v>
      </c>
      <c r="L38" s="109">
        <v>4687051</v>
      </c>
      <c r="M38" s="109">
        <v>4968274</v>
      </c>
      <c r="N38" s="127"/>
    </row>
    <row r="39" spans="1:14" ht="12.75" customHeight="1">
      <c r="A39" s="138" t="str">
        <f>"Total "&amp;A36</f>
        <v>Total Non current liabilities - Borrowing</v>
      </c>
      <c r="B39" s="73"/>
      <c r="C39" s="304">
        <f t="shared" ref="C39:M39" si="7">SUM(C37:C38)</f>
        <v>124440214</v>
      </c>
      <c r="D39" s="150">
        <f t="shared" si="7"/>
        <v>0</v>
      </c>
      <c r="E39" s="150">
        <f t="shared" si="7"/>
        <v>0</v>
      </c>
      <c r="F39" s="150">
        <f t="shared" si="7"/>
        <v>0</v>
      </c>
      <c r="G39" s="150">
        <f t="shared" si="7"/>
        <v>0</v>
      </c>
      <c r="H39" s="150">
        <f t="shared" si="7"/>
        <v>0</v>
      </c>
      <c r="I39" s="150">
        <f t="shared" si="7"/>
        <v>0</v>
      </c>
      <c r="J39" s="150">
        <f t="shared" si="7"/>
        <v>0</v>
      </c>
      <c r="K39" s="150">
        <f t="shared" si="7"/>
        <v>124440214</v>
      </c>
      <c r="L39" s="150">
        <f t="shared" si="7"/>
        <v>112087026</v>
      </c>
      <c r="M39" s="151">
        <f t="shared" si="7"/>
        <v>98721756</v>
      </c>
      <c r="N39" s="127"/>
    </row>
    <row r="40" spans="1:14" ht="12.75" customHeight="1">
      <c r="A40" s="125" t="s">
        <v>1385</v>
      </c>
      <c r="B40" s="73"/>
      <c r="C40" s="74"/>
      <c r="D40" s="75"/>
      <c r="E40" s="75"/>
      <c r="F40" s="75"/>
      <c r="G40" s="75"/>
      <c r="H40" s="75"/>
      <c r="I40" s="75"/>
      <c r="J40" s="75"/>
      <c r="K40" s="75"/>
      <c r="L40" s="75"/>
      <c r="M40" s="76"/>
      <c r="N40" s="127"/>
    </row>
    <row r="41" spans="1:14" ht="12.75" customHeight="1">
      <c r="A41" s="128" t="s">
        <v>1386</v>
      </c>
      <c r="B41" s="73"/>
      <c r="C41" s="129">
        <v>56351637</v>
      </c>
      <c r="D41" s="109"/>
      <c r="E41" s="109"/>
      <c r="F41" s="109"/>
      <c r="G41" s="109"/>
      <c r="H41" s="109"/>
      <c r="I41" s="109"/>
      <c r="J41" s="75">
        <f>SUM(E41:I41)</f>
        <v>0</v>
      </c>
      <c r="K41" s="75">
        <f>IF(D41=0,C41+J41,D41+J41)</f>
        <v>56351637</v>
      </c>
      <c r="L41" s="109">
        <v>59732735</v>
      </c>
      <c r="M41" s="109">
        <v>63316699</v>
      </c>
      <c r="N41" s="127"/>
    </row>
    <row r="42" spans="1:14" ht="12.75" customHeight="1">
      <c r="A42" s="306" t="s">
        <v>1387</v>
      </c>
      <c r="B42" s="73"/>
      <c r="C42" s="129"/>
      <c r="D42" s="109"/>
      <c r="E42" s="109"/>
      <c r="F42" s="109"/>
      <c r="G42" s="109"/>
      <c r="H42" s="109"/>
      <c r="I42" s="109"/>
      <c r="J42" s="75">
        <f>SUM(E42:I42)</f>
        <v>0</v>
      </c>
      <c r="K42" s="75">
        <f>IF(D42=0,C42+J42,D42+J42)</f>
        <v>0</v>
      </c>
      <c r="L42" s="109"/>
      <c r="M42" s="109"/>
      <c r="N42" s="127"/>
    </row>
    <row r="43" spans="1:14" ht="12.75" customHeight="1">
      <c r="A43" s="128" t="s">
        <v>1388</v>
      </c>
      <c r="B43" s="73"/>
      <c r="C43" s="129">
        <v>2934338</v>
      </c>
      <c r="D43" s="109"/>
      <c r="E43" s="109"/>
      <c r="F43" s="109"/>
      <c r="G43" s="109"/>
      <c r="H43" s="109"/>
      <c r="I43" s="109"/>
      <c r="J43" s="75">
        <f>SUM(E43:I43)</f>
        <v>0</v>
      </c>
      <c r="K43" s="75">
        <f>IF(D43=0,C43+J43,D43+J43)</f>
        <v>2934338</v>
      </c>
      <c r="L43" s="109">
        <v>3110398</v>
      </c>
      <c r="M43" s="109">
        <v>3297022</v>
      </c>
      <c r="N43" s="127"/>
    </row>
    <row r="44" spans="1:14" ht="12.75" customHeight="1">
      <c r="A44" s="128" t="s">
        <v>673</v>
      </c>
      <c r="B44" s="73"/>
      <c r="C44" s="129"/>
      <c r="D44" s="109"/>
      <c r="E44" s="109"/>
      <c r="F44" s="109"/>
      <c r="G44" s="109"/>
      <c r="H44" s="109"/>
      <c r="I44" s="109"/>
      <c r="J44" s="75">
        <f>SUM(E44:I44)</f>
        <v>0</v>
      </c>
      <c r="K44" s="75">
        <f>IF(D44=0,C44+J44,D44+J44)</f>
        <v>0</v>
      </c>
      <c r="L44" s="109"/>
      <c r="M44" s="110"/>
      <c r="N44" s="127"/>
    </row>
    <row r="45" spans="1:14" ht="12.75" customHeight="1">
      <c r="A45" s="305" t="str">
        <f>"Total "&amp;A40</f>
        <v>Total Provisions - non current</v>
      </c>
      <c r="B45" s="153"/>
      <c r="C45" s="80">
        <f>SUM(C41:C44)</f>
        <v>59285975</v>
      </c>
      <c r="D45" s="81">
        <f t="shared" ref="D45:M45" si="8">SUM(D41:D44)</f>
        <v>0</v>
      </c>
      <c r="E45" s="81">
        <f t="shared" si="8"/>
        <v>0</v>
      </c>
      <c r="F45" s="81">
        <f t="shared" si="8"/>
        <v>0</v>
      </c>
      <c r="G45" s="81">
        <f t="shared" si="8"/>
        <v>0</v>
      </c>
      <c r="H45" s="81">
        <f t="shared" si="8"/>
        <v>0</v>
      </c>
      <c r="I45" s="81">
        <f t="shared" si="8"/>
        <v>0</v>
      </c>
      <c r="J45" s="81">
        <f t="shared" si="8"/>
        <v>0</v>
      </c>
      <c r="K45" s="81">
        <f t="shared" si="8"/>
        <v>59285975</v>
      </c>
      <c r="L45" s="81">
        <f t="shared" si="8"/>
        <v>62843133</v>
      </c>
      <c r="M45" s="82">
        <f t="shared" si="8"/>
        <v>66613721</v>
      </c>
      <c r="N45" s="127"/>
    </row>
    <row r="46" spans="1:14" ht="5.0999999999999996" customHeight="1">
      <c r="A46" s="135"/>
      <c r="B46" s="73"/>
      <c r="C46" s="74"/>
      <c r="D46" s="75"/>
      <c r="E46" s="75"/>
      <c r="F46" s="75"/>
      <c r="G46" s="75"/>
      <c r="H46" s="75"/>
      <c r="I46" s="75"/>
      <c r="J46" s="75"/>
      <c r="K46" s="75"/>
      <c r="L46" s="75"/>
      <c r="M46" s="76"/>
      <c r="N46" s="127"/>
    </row>
    <row r="47" spans="1:14" ht="12.75" customHeight="1">
      <c r="A47" s="51" t="s">
        <v>1389</v>
      </c>
      <c r="B47" s="73"/>
      <c r="C47" s="74"/>
      <c r="D47" s="75"/>
      <c r="E47" s="75"/>
      <c r="F47" s="75"/>
      <c r="G47" s="75"/>
      <c r="H47" s="75"/>
      <c r="I47" s="75"/>
      <c r="J47" s="75"/>
      <c r="K47" s="75"/>
      <c r="L47" s="75"/>
      <c r="M47" s="76"/>
      <c r="N47" s="127"/>
    </row>
    <row r="48" spans="1:14" ht="12.75" customHeight="1">
      <c r="A48" s="52" t="s">
        <v>1390</v>
      </c>
      <c r="B48" s="73"/>
      <c r="C48" s="74"/>
      <c r="D48" s="75"/>
      <c r="E48" s="75"/>
      <c r="F48" s="75"/>
      <c r="G48" s="75"/>
      <c r="H48" s="75"/>
      <c r="I48" s="75"/>
      <c r="J48" s="75"/>
      <c r="K48" s="75"/>
      <c r="L48" s="75"/>
      <c r="M48" s="76"/>
      <c r="N48" s="127"/>
    </row>
    <row r="49" spans="1:14" ht="12.75" customHeight="1">
      <c r="A49" s="30" t="str">
        <f>A48&amp;" - opening balance"</f>
        <v>Accumulated surplus/(Deficit) - opening balance</v>
      </c>
      <c r="B49" s="73"/>
      <c r="C49" s="955">
        <v>1717155382</v>
      </c>
      <c r="D49" s="956"/>
      <c r="E49" s="956"/>
      <c r="F49" s="956"/>
      <c r="G49" s="956"/>
      <c r="H49" s="956">
        <v>20350000</v>
      </c>
      <c r="I49" s="956">
        <v>-1809369</v>
      </c>
      <c r="J49" s="75">
        <f>SUM(E49:I49)</f>
        <v>18540631</v>
      </c>
      <c r="K49" s="75">
        <f>IF(D49=0,C49+J49,D49+J49)</f>
        <v>1735696013</v>
      </c>
      <c r="L49" s="956">
        <f>1897827749-30064424</f>
        <v>1867763325</v>
      </c>
      <c r="M49" s="956">
        <v>2116057079</v>
      </c>
      <c r="N49" s="127"/>
    </row>
    <row r="50" spans="1:14" ht="12.75" customHeight="1">
      <c r="A50" s="30" t="s">
        <v>1391</v>
      </c>
      <c r="B50" s="73"/>
      <c r="C50" s="129"/>
      <c r="D50" s="109"/>
      <c r="E50" s="109"/>
      <c r="F50" s="109"/>
      <c r="G50" s="109"/>
      <c r="H50" s="109"/>
      <c r="I50" s="109"/>
      <c r="J50" s="75">
        <f>SUM(E50:I50)</f>
        <v>0</v>
      </c>
      <c r="K50" s="75">
        <f>IF(D50=0,C50+J50,D50+J50)</f>
        <v>0</v>
      </c>
      <c r="L50" s="109"/>
      <c r="M50" s="109"/>
      <c r="N50" s="127"/>
    </row>
    <row r="51" spans="1:14" ht="12.75" customHeight="1">
      <c r="A51" s="30" t="s">
        <v>1392</v>
      </c>
      <c r="B51" s="73"/>
      <c r="C51" s="129"/>
      <c r="D51" s="109"/>
      <c r="E51" s="109"/>
      <c r="F51" s="109"/>
      <c r="G51" s="109"/>
      <c r="H51" s="109"/>
      <c r="I51" s="109"/>
      <c r="J51" s="75">
        <f>SUM(E51:I51)</f>
        <v>0</v>
      </c>
      <c r="K51" s="75">
        <f>IF(D51=0,C51+J51,D51+J51)</f>
        <v>0</v>
      </c>
      <c r="L51" s="109"/>
      <c r="M51" s="109"/>
      <c r="N51" s="127"/>
    </row>
    <row r="52" spans="1:14" ht="12.75" customHeight="1">
      <c r="A52" s="30" t="s">
        <v>1393</v>
      </c>
      <c r="B52" s="73"/>
      <c r="C52" s="129"/>
      <c r="D52" s="109"/>
      <c r="E52" s="109"/>
      <c r="F52" s="109"/>
      <c r="G52" s="109"/>
      <c r="H52" s="109"/>
      <c r="I52" s="109"/>
      <c r="J52" s="75">
        <f>SUM(E52:I52)</f>
        <v>0</v>
      </c>
      <c r="K52" s="75">
        <f>IF(D52=0,C52+J52,D52+J52)</f>
        <v>0</v>
      </c>
      <c r="L52" s="109"/>
      <c r="M52" s="109"/>
      <c r="N52" s="127"/>
    </row>
    <row r="53" spans="1:14" ht="12.75" customHeight="1">
      <c r="A53" s="30" t="s">
        <v>1394</v>
      </c>
      <c r="B53" s="73"/>
      <c r="C53" s="129">
        <v>99922102</v>
      </c>
      <c r="D53" s="109"/>
      <c r="E53" s="109"/>
      <c r="F53" s="109"/>
      <c r="G53" s="109"/>
      <c r="H53" s="109"/>
      <c r="I53" s="109"/>
      <c r="J53" s="75">
        <f>SUM(E53:I53)</f>
        <v>0</v>
      </c>
      <c r="K53" s="75">
        <f>IF(D53=0,C53+J53,D53+J53)</f>
        <v>99922102</v>
      </c>
      <c r="L53" s="109">
        <v>90737412</v>
      </c>
      <c r="M53" s="109">
        <v>93233429</v>
      </c>
      <c r="N53" s="127"/>
    </row>
    <row r="54" spans="1:14" ht="12.75" customHeight="1">
      <c r="A54" s="138" t="s">
        <v>770</v>
      </c>
      <c r="B54" s="73">
        <v>1</v>
      </c>
      <c r="C54" s="80">
        <f>SUM(C49:C53)</f>
        <v>1817077484</v>
      </c>
      <c r="D54" s="81">
        <f t="shared" ref="D54:M54" si="9">SUM(D49:D53)</f>
        <v>0</v>
      </c>
      <c r="E54" s="81">
        <f t="shared" si="9"/>
        <v>0</v>
      </c>
      <c r="F54" s="81">
        <f t="shared" si="9"/>
        <v>0</v>
      </c>
      <c r="G54" s="81">
        <f t="shared" si="9"/>
        <v>0</v>
      </c>
      <c r="H54" s="81">
        <f t="shared" si="9"/>
        <v>20350000</v>
      </c>
      <c r="I54" s="81">
        <f>SUM(I49:I53)</f>
        <v>-1809369</v>
      </c>
      <c r="J54" s="81">
        <f t="shared" si="9"/>
        <v>18540631</v>
      </c>
      <c r="K54" s="81">
        <f t="shared" si="9"/>
        <v>1835618115</v>
      </c>
      <c r="L54" s="81">
        <f t="shared" si="9"/>
        <v>1958500737</v>
      </c>
      <c r="M54" s="82">
        <f t="shared" si="9"/>
        <v>2209290508</v>
      </c>
      <c r="N54" s="127"/>
    </row>
    <row r="55" spans="1:14" ht="12.75" customHeight="1">
      <c r="A55" s="125" t="s">
        <v>771</v>
      </c>
      <c r="B55" s="114"/>
      <c r="C55" s="74"/>
      <c r="D55" s="75"/>
      <c r="E55" s="75"/>
      <c r="F55" s="75"/>
      <c r="G55" s="75"/>
      <c r="H55" s="75"/>
      <c r="I55" s="75"/>
      <c r="J55" s="75"/>
      <c r="K55" s="75"/>
      <c r="L55" s="75"/>
      <c r="M55" s="76"/>
      <c r="N55" s="127"/>
    </row>
    <row r="56" spans="1:14" ht="12.75" customHeight="1">
      <c r="A56" s="30" t="s">
        <v>1395</v>
      </c>
      <c r="B56" s="136"/>
      <c r="C56" s="129"/>
      <c r="D56" s="109"/>
      <c r="E56" s="109"/>
      <c r="F56" s="109"/>
      <c r="G56" s="109"/>
      <c r="H56" s="109"/>
      <c r="I56" s="109"/>
      <c r="J56" s="75">
        <f>SUM(E56:I56)</f>
        <v>0</v>
      </c>
      <c r="K56" s="75">
        <f>IF(D56=0,C56+J56,D56+J56)</f>
        <v>0</v>
      </c>
      <c r="L56" s="109"/>
      <c r="M56" s="110"/>
      <c r="N56" s="127"/>
    </row>
    <row r="57" spans="1:14" ht="12.75" customHeight="1">
      <c r="A57" s="30" t="s">
        <v>1396</v>
      </c>
      <c r="B57" s="73"/>
      <c r="C57" s="129"/>
      <c r="D57" s="109"/>
      <c r="E57" s="109"/>
      <c r="F57" s="109"/>
      <c r="G57" s="109"/>
      <c r="H57" s="109"/>
      <c r="I57" s="109"/>
      <c r="J57" s="75">
        <f>SUM(E57:I57)</f>
        <v>0</v>
      </c>
      <c r="K57" s="75">
        <f>IF(D57=0,C57+J57,D57+J57)</f>
        <v>0</v>
      </c>
      <c r="L57" s="109"/>
      <c r="M57" s="110"/>
      <c r="N57" s="127"/>
    </row>
    <row r="58" spans="1:14" ht="12.75" customHeight="1">
      <c r="A58" s="30" t="s">
        <v>1397</v>
      </c>
      <c r="B58" s="73"/>
      <c r="C58" s="129"/>
      <c r="D58" s="109"/>
      <c r="E58" s="109"/>
      <c r="F58" s="109"/>
      <c r="G58" s="109"/>
      <c r="H58" s="109"/>
      <c r="I58" s="109"/>
      <c r="J58" s="75">
        <f>SUM(E58:I58)</f>
        <v>0</v>
      </c>
      <c r="K58" s="75">
        <f>IF(D58=0,C58+J58,D58+J58)</f>
        <v>0</v>
      </c>
      <c r="L58" s="109"/>
      <c r="M58" s="110"/>
      <c r="N58" s="127"/>
    </row>
    <row r="59" spans="1:14" ht="12.75" customHeight="1">
      <c r="A59" s="497" t="s">
        <v>577</v>
      </c>
      <c r="B59" s="73"/>
      <c r="C59" s="129"/>
      <c r="D59" s="109"/>
      <c r="E59" s="109"/>
      <c r="F59" s="109"/>
      <c r="G59" s="109"/>
      <c r="H59" s="109"/>
      <c r="I59" s="109"/>
      <c r="J59" s="75">
        <f>SUM(E59:I59)</f>
        <v>0</v>
      </c>
      <c r="K59" s="75">
        <f>IF(D59=0,C59+J59,D59+J59)</f>
        <v>0</v>
      </c>
      <c r="L59" s="109"/>
      <c r="M59" s="110"/>
      <c r="N59" s="127"/>
    </row>
    <row r="60" spans="1:14" ht="12.75" customHeight="1">
      <c r="A60" s="30" t="s">
        <v>1398</v>
      </c>
      <c r="B60" s="73"/>
      <c r="C60" s="129"/>
      <c r="D60" s="109"/>
      <c r="E60" s="109"/>
      <c r="F60" s="109"/>
      <c r="G60" s="109"/>
      <c r="H60" s="109"/>
      <c r="I60" s="109"/>
      <c r="J60" s="75">
        <f>SUM(E60:I60)</f>
        <v>0</v>
      </c>
      <c r="K60" s="75">
        <f>IF(D60=0,C60+J60,D60+J60)</f>
        <v>0</v>
      </c>
      <c r="L60" s="109"/>
      <c r="M60" s="110"/>
      <c r="N60" s="127"/>
    </row>
    <row r="61" spans="1:14" ht="12.75" customHeight="1">
      <c r="A61" s="305" t="s">
        <v>1399</v>
      </c>
      <c r="B61" s="153">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7"/>
    </row>
    <row r="62" spans="1:14" ht="12.75" customHeight="1">
      <c r="A62" s="154" t="s">
        <v>772</v>
      </c>
      <c r="B62" s="155">
        <v>2</v>
      </c>
      <c r="C62" s="156">
        <f t="shared" ref="C62:M62" si="11">C54+C61</f>
        <v>1817077484</v>
      </c>
      <c r="D62" s="116">
        <f t="shared" si="11"/>
        <v>0</v>
      </c>
      <c r="E62" s="116">
        <f t="shared" si="11"/>
        <v>0</v>
      </c>
      <c r="F62" s="116">
        <f t="shared" si="11"/>
        <v>0</v>
      </c>
      <c r="G62" s="116">
        <f t="shared" si="11"/>
        <v>0</v>
      </c>
      <c r="H62" s="116">
        <f t="shared" si="11"/>
        <v>20350000</v>
      </c>
      <c r="I62" s="116">
        <f t="shared" si="11"/>
        <v>-1809369</v>
      </c>
      <c r="J62" s="116">
        <f t="shared" si="11"/>
        <v>18540631</v>
      </c>
      <c r="K62" s="116">
        <f t="shared" si="11"/>
        <v>1835618115</v>
      </c>
      <c r="L62" s="116">
        <f t="shared" si="11"/>
        <v>1958500737</v>
      </c>
      <c r="M62" s="117">
        <f t="shared" si="11"/>
        <v>2209290508</v>
      </c>
      <c r="N62" s="127"/>
    </row>
    <row r="63" spans="1:14" ht="5.0999999999999996" customHeight="1">
      <c r="A63" s="307"/>
      <c r="B63" s="308"/>
      <c r="C63" s="309"/>
      <c r="D63" s="309"/>
      <c r="E63" s="309"/>
      <c r="F63" s="309"/>
      <c r="G63" s="309"/>
      <c r="H63" s="309"/>
      <c r="I63" s="309"/>
      <c r="J63" s="309"/>
      <c r="K63" s="309"/>
      <c r="L63" s="309"/>
      <c r="M63" s="309"/>
      <c r="N63" s="127"/>
    </row>
    <row r="64" spans="1:14" ht="12.75" customHeight="1">
      <c r="A64" s="51" t="s">
        <v>1400</v>
      </c>
      <c r="B64" s="310"/>
      <c r="C64" s="310"/>
      <c r="D64" s="310"/>
      <c r="E64" s="310"/>
      <c r="F64" s="310"/>
      <c r="G64" s="310"/>
      <c r="H64" s="310"/>
      <c r="I64" s="310"/>
      <c r="J64" s="310"/>
      <c r="K64" s="310"/>
      <c r="L64" s="310"/>
      <c r="M64" s="310"/>
      <c r="N64" s="127"/>
    </row>
    <row r="65" spans="1:14" ht="12.75" customHeight="1">
      <c r="A65" s="959" t="s">
        <v>0</v>
      </c>
      <c r="B65" s="311"/>
      <c r="C65" s="312"/>
      <c r="D65" s="313"/>
      <c r="E65" s="313"/>
      <c r="F65" s="313"/>
      <c r="G65" s="313"/>
      <c r="H65" s="313"/>
      <c r="I65" s="313"/>
      <c r="J65" s="314">
        <f>SUM(E65:I65)</f>
        <v>0</v>
      </c>
      <c r="K65" s="314">
        <f>IF(D65=0,C65+J65,D65+J65)</f>
        <v>0</v>
      </c>
      <c r="L65" s="313"/>
      <c r="M65" s="315"/>
      <c r="N65" s="127"/>
    </row>
    <row r="66" spans="1:14" ht="12.75" customHeight="1">
      <c r="A66" s="777" t="s">
        <v>1</v>
      </c>
      <c r="B66" s="73"/>
      <c r="C66" s="129"/>
      <c r="D66" s="109"/>
      <c r="E66" s="109"/>
      <c r="F66" s="109"/>
      <c r="G66" s="109"/>
      <c r="H66" s="109"/>
      <c r="I66" s="109"/>
      <c r="J66" s="75">
        <f>SUM(E66:I66)</f>
        <v>0</v>
      </c>
      <c r="K66" s="75">
        <f>IF(D66=0,C66+J66,D66+J66)</f>
        <v>0</v>
      </c>
      <c r="L66" s="109"/>
      <c r="M66" s="110"/>
      <c r="N66" s="127"/>
    </row>
    <row r="67" spans="1:14" ht="12.75" customHeight="1">
      <c r="A67" s="960"/>
      <c r="B67" s="958"/>
      <c r="C67" s="316"/>
      <c r="D67" s="317"/>
      <c r="E67" s="317"/>
      <c r="F67" s="317"/>
      <c r="G67" s="317"/>
      <c r="H67" s="317"/>
      <c r="I67" s="317"/>
      <c r="J67" s="177">
        <f>SUM(E67:I67)</f>
        <v>0</v>
      </c>
      <c r="K67" s="177">
        <f>IF(D67=0,C67+J67,D67+J67)</f>
        <v>0</v>
      </c>
      <c r="L67" s="317"/>
      <c r="M67" s="318"/>
      <c r="N67" s="127"/>
    </row>
    <row r="68" spans="1:14" ht="12.75" customHeight="1">
      <c r="A68" s="157" t="str">
        <f>head27a</f>
        <v>References</v>
      </c>
      <c r="B68" s="93"/>
      <c r="C68" s="96"/>
      <c r="D68" s="96"/>
      <c r="E68" s="96"/>
      <c r="F68" s="96"/>
      <c r="G68" s="96"/>
      <c r="H68" s="96"/>
      <c r="I68" s="96"/>
      <c r="J68" s="96"/>
      <c r="K68" s="96"/>
      <c r="L68" s="96"/>
      <c r="M68" s="96"/>
      <c r="N68" s="127"/>
    </row>
    <row r="69" spans="1:14" ht="12.75" customHeight="1">
      <c r="A69" s="99" t="s">
        <v>2</v>
      </c>
      <c r="B69" s="93"/>
      <c r="C69" s="96"/>
      <c r="D69" s="96"/>
      <c r="E69" s="96"/>
      <c r="F69" s="96"/>
      <c r="G69" s="96"/>
      <c r="H69" s="96"/>
      <c r="I69" s="96"/>
      <c r="J69" s="96"/>
      <c r="K69" s="96"/>
      <c r="L69" s="96"/>
      <c r="M69" s="96"/>
    </row>
    <row r="70" spans="1:14" ht="12.75" customHeight="1">
      <c r="A70" s="99" t="s">
        <v>3</v>
      </c>
      <c r="B70" s="93"/>
      <c r="C70" s="96"/>
      <c r="D70" s="96"/>
      <c r="E70" s="96"/>
      <c r="F70" s="96"/>
      <c r="G70" s="96"/>
      <c r="H70" s="96"/>
      <c r="I70" s="96"/>
      <c r="J70" s="96"/>
      <c r="K70" s="96"/>
      <c r="L70" s="96"/>
      <c r="M70" s="96"/>
    </row>
    <row r="71" spans="1:14" ht="12.75" customHeight="1">
      <c r="A71" s="99" t="s">
        <v>4</v>
      </c>
      <c r="B71" s="93"/>
      <c r="C71" s="99"/>
      <c r="D71" s="99"/>
      <c r="E71" s="99"/>
      <c r="F71" s="99"/>
      <c r="G71" s="99"/>
      <c r="H71" s="99"/>
      <c r="I71" s="99"/>
      <c r="J71" s="99"/>
      <c r="K71" s="99"/>
      <c r="L71" s="99"/>
      <c r="M71" s="99"/>
    </row>
    <row r="72" spans="1:14" ht="12.75" customHeight="1">
      <c r="A72" s="99" t="s">
        <v>1103</v>
      </c>
      <c r="B72" s="99"/>
      <c r="C72" s="99"/>
      <c r="D72" s="99"/>
      <c r="E72" s="99"/>
      <c r="F72" s="99"/>
      <c r="G72" s="99"/>
      <c r="H72" s="99"/>
      <c r="I72" s="99"/>
      <c r="J72" s="99"/>
      <c r="K72" s="99"/>
      <c r="L72" s="99"/>
      <c r="M72" s="99"/>
    </row>
    <row r="73" spans="1:14" ht="24.95" customHeight="1">
      <c r="A73" s="1318" t="s">
        <v>816</v>
      </c>
      <c r="B73" s="1318"/>
      <c r="C73" s="1318"/>
      <c r="D73" s="1318"/>
      <c r="E73" s="1318"/>
      <c r="F73" s="1318"/>
      <c r="G73" s="1318"/>
      <c r="H73" s="1318"/>
      <c r="I73" s="1318"/>
      <c r="J73" s="1318"/>
      <c r="K73" s="1318"/>
      <c r="L73" s="1318"/>
      <c r="M73" s="1318"/>
    </row>
    <row r="74" spans="1:14" ht="12.75" customHeight="1">
      <c r="A74" s="99" t="s">
        <v>817</v>
      </c>
      <c r="B74" s="99"/>
      <c r="C74" s="99"/>
      <c r="D74" s="99"/>
      <c r="E74" s="99"/>
      <c r="F74" s="99"/>
      <c r="G74" s="99"/>
      <c r="H74" s="99"/>
      <c r="I74" s="99"/>
      <c r="J74" s="99"/>
      <c r="K74" s="99"/>
      <c r="L74" s="99"/>
      <c r="M74" s="99"/>
    </row>
    <row r="75" spans="1:14" ht="12.75" customHeight="1">
      <c r="A75" s="99" t="s">
        <v>818</v>
      </c>
      <c r="B75" s="99"/>
      <c r="C75" s="99"/>
      <c r="D75" s="99"/>
      <c r="E75" s="99"/>
      <c r="F75" s="99"/>
      <c r="G75" s="99"/>
      <c r="H75" s="99"/>
      <c r="I75" s="99"/>
      <c r="J75" s="99"/>
      <c r="K75" s="99"/>
      <c r="L75" s="99"/>
      <c r="M75" s="99"/>
    </row>
    <row r="76" spans="1:14" ht="12.75" customHeight="1">
      <c r="A76" s="99" t="s">
        <v>819</v>
      </c>
      <c r="B76" s="93"/>
      <c r="C76" s="96"/>
      <c r="D76" s="96"/>
      <c r="E76" s="96"/>
      <c r="F76" s="96"/>
      <c r="G76" s="96"/>
      <c r="H76" s="96"/>
      <c r="I76" s="96"/>
      <c r="J76" s="96"/>
      <c r="K76" s="96"/>
      <c r="L76" s="96"/>
      <c r="M76" s="96"/>
    </row>
    <row r="77" spans="1:14" ht="38.25" customHeight="1">
      <c r="A77" s="1318" t="s">
        <v>820</v>
      </c>
      <c r="B77" s="1318"/>
      <c r="C77" s="1318"/>
      <c r="D77" s="1318"/>
      <c r="E77" s="1318"/>
      <c r="F77" s="1318"/>
      <c r="G77" s="1318"/>
      <c r="H77" s="1318"/>
      <c r="I77" s="1318"/>
      <c r="J77" s="1318"/>
      <c r="K77" s="1318"/>
      <c r="L77" s="1318"/>
      <c r="M77" s="1318"/>
    </row>
    <row r="78" spans="1:14" ht="12.75" customHeight="1">
      <c r="A78" s="99" t="s">
        <v>821</v>
      </c>
      <c r="B78" s="93"/>
      <c r="C78" s="96"/>
      <c r="D78" s="96"/>
      <c r="E78" s="96"/>
      <c r="F78" s="96"/>
      <c r="G78" s="96"/>
      <c r="H78" s="96"/>
      <c r="I78" s="96"/>
      <c r="J78" s="96"/>
      <c r="K78" s="96"/>
      <c r="L78" s="96"/>
      <c r="M78" s="96"/>
    </row>
    <row r="79" spans="1:14" ht="12.75" customHeight="1">
      <c r="A79" s="99" t="s">
        <v>822</v>
      </c>
      <c r="B79" s="100"/>
      <c r="C79" s="100"/>
      <c r="D79" s="100"/>
      <c r="E79" s="100"/>
      <c r="F79" s="100"/>
      <c r="G79" s="100"/>
      <c r="H79" s="100"/>
      <c r="I79" s="100"/>
      <c r="J79" s="100"/>
      <c r="K79" s="100"/>
      <c r="L79" s="100"/>
      <c r="M79" s="100"/>
    </row>
    <row r="80" spans="1:14" ht="11.25" customHeight="1">
      <c r="A80" s="319" t="s">
        <v>5</v>
      </c>
      <c r="C80" s="181">
        <f>C62-'B6-FinPos'!C49</f>
        <v>0</v>
      </c>
      <c r="D80" s="181"/>
      <c r="E80" s="181"/>
      <c r="F80" s="181"/>
      <c r="G80" s="181"/>
      <c r="H80" s="181"/>
      <c r="I80" s="181"/>
      <c r="J80" s="181"/>
      <c r="K80" s="181"/>
      <c r="L80" s="181"/>
      <c r="M80" s="320">
        <f>K62-'B6-FinPos'!K49</f>
        <v>0</v>
      </c>
    </row>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sheetData>
  <mergeCells count="5">
    <mergeCell ref="A77:M77"/>
    <mergeCell ref="A73:M73"/>
    <mergeCell ref="B2:B4"/>
    <mergeCell ref="A2:A4"/>
    <mergeCell ref="C2:K2"/>
  </mergeCells>
  <phoneticPr fontId="17"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codeName="Sheet93" enableFormatConditionsCalculation="0">
    <tabColor indexed="42"/>
    <pageSetUpPr fitToPage="1"/>
  </sheetPr>
  <dimension ref="A1:M212"/>
  <sheetViews>
    <sheetView showGridLines="0" workbookViewId="0">
      <pane xSplit="1" ySplit="4" topLeftCell="B5" activePane="bottomRight" state="frozen"/>
      <selection activeCell="M17" sqref="M17:M63"/>
      <selection pane="topRight" activeCell="M17" sqref="M17:M63"/>
      <selection pane="bottomLeft" activeCell="M17" sqref="M17:M63"/>
      <selection pane="bottomRight" activeCell="L180" sqref="L180"/>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LIM333 Greater Tzaneen - Supporting Table SB3 Consolidated Adjustments to the SDBIP - performance objectives - 26 FEBRUARY 2014</v>
      </c>
      <c r="C1" s="58"/>
    </row>
    <row r="2" spans="1:13" ht="38.25">
      <c r="A2" s="1322" t="str">
        <f>desc</f>
        <v>Description</v>
      </c>
      <c r="B2" s="1322" t="s">
        <v>6</v>
      </c>
      <c r="C2" s="1319" t="str">
        <f>Head2</f>
        <v>Budget Year 2013/14</v>
      </c>
      <c r="D2" s="1320"/>
      <c r="E2" s="1320"/>
      <c r="F2" s="1320"/>
      <c r="G2" s="1320"/>
      <c r="H2" s="1320"/>
      <c r="I2" s="1320"/>
      <c r="J2" s="1320"/>
      <c r="K2" s="1321"/>
      <c r="L2" s="169" t="str">
        <f>Head10</f>
        <v>Budget Year +1 2014/15</v>
      </c>
      <c r="M2" s="170" t="str">
        <f>Head11</f>
        <v>Budget Year +2 2015/16</v>
      </c>
    </row>
    <row r="3" spans="1:13"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331"/>
      <c r="B4" s="1331"/>
      <c r="C4" s="67" t="s">
        <v>583</v>
      </c>
      <c r="D4" s="68" t="s">
        <v>584</v>
      </c>
      <c r="E4" s="68" t="s">
        <v>585</v>
      </c>
      <c r="F4" s="69" t="s">
        <v>586</v>
      </c>
      <c r="G4" s="69" t="s">
        <v>587</v>
      </c>
      <c r="H4" s="69" t="s">
        <v>588</v>
      </c>
      <c r="I4" s="70" t="s">
        <v>589</v>
      </c>
      <c r="J4" s="70" t="s">
        <v>590</v>
      </c>
      <c r="K4" s="70" t="s">
        <v>591</v>
      </c>
      <c r="L4" s="70"/>
      <c r="M4" s="71"/>
    </row>
    <row r="5" spans="1:13" ht="12.75" customHeight="1">
      <c r="A5" s="1214" t="s">
        <v>1830</v>
      </c>
      <c r="B5" s="321"/>
      <c r="C5" s="129"/>
      <c r="D5" s="109"/>
      <c r="E5" s="109"/>
      <c r="F5" s="109"/>
      <c r="G5" s="109"/>
      <c r="H5" s="109"/>
      <c r="I5" s="109"/>
      <c r="J5" s="75"/>
      <c r="K5" s="75"/>
      <c r="L5" s="75"/>
      <c r="M5" s="76"/>
    </row>
    <row r="6" spans="1:13" ht="12.75" customHeight="1">
      <c r="A6" s="848" t="s">
        <v>1831</v>
      </c>
      <c r="B6" s="322" t="s">
        <v>1832</v>
      </c>
      <c r="C6" s="129">
        <v>600</v>
      </c>
      <c r="D6" s="109"/>
      <c r="E6" s="109"/>
      <c r="F6" s="109"/>
      <c r="G6" s="109"/>
      <c r="H6" s="109"/>
      <c r="I6" s="109"/>
      <c r="J6" s="75"/>
      <c r="K6" s="75"/>
      <c r="L6" s="75"/>
      <c r="M6" s="76"/>
    </row>
    <row r="7" spans="1:13" ht="12.75" customHeight="1">
      <c r="A7" s="848" t="s">
        <v>1833</v>
      </c>
      <c r="B7" s="322" t="s">
        <v>1832</v>
      </c>
      <c r="C7" s="129">
        <v>4</v>
      </c>
      <c r="D7" s="109"/>
      <c r="E7" s="109"/>
      <c r="F7" s="109"/>
      <c r="G7" s="109"/>
      <c r="H7" s="109"/>
      <c r="I7" s="109"/>
      <c r="J7" s="75"/>
      <c r="K7" s="75"/>
      <c r="L7" s="75"/>
      <c r="M7" s="76"/>
    </row>
    <row r="8" spans="1:13" ht="12.75" customHeight="1">
      <c r="A8" s="848" t="s">
        <v>1834</v>
      </c>
      <c r="B8" s="322" t="s">
        <v>1832</v>
      </c>
      <c r="C8" s="129">
        <v>2045</v>
      </c>
      <c r="D8" s="109"/>
      <c r="E8" s="109"/>
      <c r="F8" s="109"/>
      <c r="G8" s="109"/>
      <c r="H8" s="109"/>
      <c r="I8" s="109"/>
      <c r="J8" s="75"/>
      <c r="K8" s="75"/>
      <c r="L8" s="75"/>
      <c r="M8" s="76"/>
    </row>
    <row r="9" spans="1:13" ht="12.75" customHeight="1">
      <c r="A9" s="848" t="s">
        <v>1835</v>
      </c>
      <c r="B9" s="322" t="s">
        <v>1832</v>
      </c>
      <c r="C9" s="129">
        <v>4</v>
      </c>
      <c r="D9" s="109"/>
      <c r="E9" s="109"/>
      <c r="F9" s="109"/>
      <c r="G9" s="109"/>
      <c r="H9" s="109"/>
      <c r="I9" s="109"/>
      <c r="J9" s="75"/>
      <c r="K9" s="75"/>
      <c r="L9" s="75"/>
      <c r="M9" s="76"/>
    </row>
    <row r="10" spans="1:13" ht="12.75" customHeight="1">
      <c r="A10" s="848" t="s">
        <v>1836</v>
      </c>
      <c r="B10" s="322" t="s">
        <v>1832</v>
      </c>
      <c r="C10" s="129">
        <v>4</v>
      </c>
      <c r="D10" s="109"/>
      <c r="E10" s="109"/>
      <c r="F10" s="109"/>
      <c r="G10" s="109"/>
      <c r="H10" s="109"/>
      <c r="I10" s="109"/>
      <c r="J10" s="75"/>
      <c r="K10" s="75"/>
      <c r="L10" s="75"/>
      <c r="M10" s="76"/>
    </row>
    <row r="11" spans="1:13" ht="12.75" customHeight="1">
      <c r="A11" s="848" t="s">
        <v>1837</v>
      </c>
      <c r="B11" s="322" t="s">
        <v>1838</v>
      </c>
      <c r="C11" s="129" t="s">
        <v>1847</v>
      </c>
      <c r="D11" s="109"/>
      <c r="E11" s="109"/>
      <c r="F11" s="109"/>
      <c r="G11" s="109"/>
      <c r="H11" s="109"/>
      <c r="I11" s="109"/>
      <c r="J11" s="75"/>
      <c r="K11" s="75"/>
      <c r="L11" s="75"/>
      <c r="M11" s="76"/>
    </row>
    <row r="12" spans="1:13" ht="12.75" customHeight="1">
      <c r="A12" s="848" t="s">
        <v>1839</v>
      </c>
      <c r="B12" s="322" t="s">
        <v>1832</v>
      </c>
      <c r="C12" s="129" t="s">
        <v>1848</v>
      </c>
      <c r="D12" s="109"/>
      <c r="E12" s="109"/>
      <c r="F12" s="109"/>
      <c r="G12" s="109"/>
      <c r="H12" s="109"/>
      <c r="I12" s="109"/>
      <c r="J12" s="75"/>
      <c r="K12" s="75"/>
      <c r="L12" s="75"/>
      <c r="M12" s="76"/>
    </row>
    <row r="13" spans="1:13" ht="12.75" customHeight="1">
      <c r="A13" s="849" t="s">
        <v>1840</v>
      </c>
      <c r="B13" s="322"/>
      <c r="C13" s="129"/>
      <c r="D13" s="109"/>
      <c r="E13" s="109"/>
      <c r="F13" s="109"/>
      <c r="G13" s="109"/>
      <c r="H13" s="109"/>
      <c r="I13" s="109"/>
      <c r="J13" s="75"/>
      <c r="K13" s="75"/>
      <c r="L13" s="75"/>
      <c r="M13" s="76"/>
    </row>
    <row r="14" spans="1:13" ht="12.75" customHeight="1">
      <c r="A14" s="1204" t="s">
        <v>1841</v>
      </c>
      <c r="B14" s="322" t="s">
        <v>1832</v>
      </c>
      <c r="C14" s="129">
        <v>5</v>
      </c>
      <c r="D14" s="109"/>
      <c r="E14" s="109"/>
      <c r="F14" s="109"/>
      <c r="G14" s="109"/>
      <c r="H14" s="109"/>
      <c r="I14" s="109"/>
      <c r="J14" s="75"/>
      <c r="K14" s="75"/>
      <c r="L14" s="75"/>
      <c r="M14" s="76"/>
    </row>
    <row r="15" spans="1:13" ht="12.75" customHeight="1">
      <c r="A15" s="1204" t="s">
        <v>1842</v>
      </c>
      <c r="B15" s="322" t="s">
        <v>1844</v>
      </c>
      <c r="C15" s="129" t="s">
        <v>1845</v>
      </c>
      <c r="D15" s="109"/>
      <c r="E15" s="109"/>
      <c r="F15" s="109"/>
      <c r="G15" s="109"/>
      <c r="H15" s="109"/>
      <c r="I15" s="109"/>
      <c r="J15" s="75"/>
      <c r="K15" s="75"/>
      <c r="L15" s="75"/>
      <c r="M15" s="76"/>
    </row>
    <row r="16" spans="1:13" ht="12.75" customHeight="1">
      <c r="A16" s="1204" t="s">
        <v>1843</v>
      </c>
      <c r="B16" s="322" t="s">
        <v>1844</v>
      </c>
      <c r="C16" s="129" t="s">
        <v>1846</v>
      </c>
      <c r="D16" s="109"/>
      <c r="E16" s="109"/>
      <c r="F16" s="109"/>
      <c r="G16" s="109"/>
      <c r="H16" s="109"/>
      <c r="I16" s="109"/>
      <c r="J16" s="75"/>
      <c r="K16" s="75"/>
      <c r="L16" s="75"/>
      <c r="M16" s="76"/>
    </row>
    <row r="17" spans="1:13" ht="12.75" customHeight="1">
      <c r="A17" s="850" t="s">
        <v>7</v>
      </c>
      <c r="B17" s="322"/>
      <c r="C17" s="129"/>
      <c r="D17" s="109"/>
      <c r="E17" s="109"/>
      <c r="F17" s="109"/>
      <c r="G17" s="109"/>
      <c r="H17" s="109"/>
      <c r="I17" s="109"/>
      <c r="J17" s="75">
        <f>SUM(E17:I17)</f>
        <v>0</v>
      </c>
      <c r="K17" s="75">
        <f>IF(D17=0,C17+J17,D17+J17)</f>
        <v>0</v>
      </c>
      <c r="L17" s="75">
        <f>IF(E17=0,D17+K17,E17+K17)</f>
        <v>0</v>
      </c>
      <c r="M17" s="76">
        <f>IF(F17=0,E17+L17,F17+L17)</f>
        <v>0</v>
      </c>
    </row>
    <row r="18" spans="1:13" ht="12.75" customHeight="1">
      <c r="A18" s="851"/>
      <c r="B18" s="322"/>
      <c r="C18" s="129"/>
      <c r="D18" s="109"/>
      <c r="E18" s="109"/>
      <c r="F18" s="109"/>
      <c r="G18" s="109"/>
      <c r="H18" s="109"/>
      <c r="I18" s="109"/>
      <c r="J18" s="75"/>
      <c r="K18" s="75"/>
      <c r="L18" s="75"/>
      <c r="M18" s="76"/>
    </row>
    <row r="19" spans="1:13" ht="12.75" customHeight="1">
      <c r="A19" s="849" t="s">
        <v>456</v>
      </c>
      <c r="B19" s="322"/>
      <c r="C19" s="129"/>
      <c r="D19" s="109"/>
      <c r="E19" s="109"/>
      <c r="F19" s="109"/>
      <c r="G19" s="109"/>
      <c r="H19" s="109"/>
      <c r="I19" s="109"/>
      <c r="J19" s="75"/>
      <c r="K19" s="75"/>
      <c r="L19" s="75"/>
      <c r="M19" s="76"/>
    </row>
    <row r="20" spans="1:13" ht="12.75" customHeight="1">
      <c r="A20" s="850" t="s">
        <v>1849</v>
      </c>
      <c r="B20" s="323"/>
      <c r="C20" s="129"/>
      <c r="D20" s="109"/>
      <c r="E20" s="109"/>
      <c r="F20" s="109"/>
      <c r="G20" s="109"/>
      <c r="H20" s="109"/>
      <c r="I20" s="109"/>
      <c r="J20" s="75">
        <f>SUM(E20:I20)</f>
        <v>0</v>
      </c>
      <c r="K20" s="75">
        <f>IF(D20=0,C20+J20,D20+J20)</f>
        <v>0</v>
      </c>
      <c r="L20" s="75">
        <f>IF(E20=0,D20+K20,E20+K20)</f>
        <v>0</v>
      </c>
      <c r="M20" s="76">
        <f>IF(F20=0,E20+L20,F20+L20)</f>
        <v>0</v>
      </c>
    </row>
    <row r="21" spans="1:13" ht="12.75" customHeight="1">
      <c r="A21" s="850" t="s">
        <v>1850</v>
      </c>
      <c r="B21" s="323" t="s">
        <v>1832</v>
      </c>
      <c r="C21" s="1205">
        <v>6</v>
      </c>
      <c r="D21" s="109"/>
      <c r="E21" s="109"/>
      <c r="F21" s="109"/>
      <c r="G21" s="109"/>
      <c r="H21" s="109"/>
      <c r="I21" s="109"/>
      <c r="J21" s="75"/>
      <c r="K21" s="75"/>
      <c r="L21" s="75"/>
      <c r="M21" s="76"/>
    </row>
    <row r="22" spans="1:13" ht="12.75" customHeight="1">
      <c r="A22" s="850" t="s">
        <v>1851</v>
      </c>
      <c r="B22" s="323" t="s">
        <v>1832</v>
      </c>
      <c r="C22" s="1205">
        <v>6</v>
      </c>
      <c r="D22" s="109"/>
      <c r="E22" s="109"/>
      <c r="F22" s="109"/>
      <c r="G22" s="109"/>
      <c r="H22" s="109"/>
      <c r="I22" s="109"/>
      <c r="J22" s="75"/>
      <c r="K22" s="75"/>
      <c r="L22" s="75"/>
      <c r="M22" s="76"/>
    </row>
    <row r="23" spans="1:13" ht="12.75" customHeight="1">
      <c r="A23" s="850" t="s">
        <v>1852</v>
      </c>
      <c r="B23" s="323" t="s">
        <v>1832</v>
      </c>
      <c r="C23" s="1205">
        <v>6</v>
      </c>
      <c r="D23" s="109"/>
      <c r="E23" s="109"/>
      <c r="F23" s="109"/>
      <c r="G23" s="109"/>
      <c r="H23" s="109"/>
      <c r="I23" s="109"/>
      <c r="J23" s="75"/>
      <c r="K23" s="75"/>
      <c r="L23" s="75"/>
      <c r="M23" s="76"/>
    </row>
    <row r="24" spans="1:13" ht="12.75" customHeight="1">
      <c r="A24" s="850" t="s">
        <v>1853</v>
      </c>
      <c r="B24" s="323" t="s">
        <v>1861</v>
      </c>
      <c r="C24" s="1205">
        <v>41729</v>
      </c>
      <c r="D24" s="109"/>
      <c r="E24" s="109"/>
      <c r="F24" s="109"/>
      <c r="G24" s="109"/>
      <c r="H24" s="109"/>
      <c r="I24" s="109"/>
      <c r="J24" s="75"/>
      <c r="K24" s="75"/>
      <c r="L24" s="75"/>
      <c r="M24" s="76"/>
    </row>
    <row r="25" spans="1:13" ht="12.75" customHeight="1">
      <c r="A25" s="850" t="s">
        <v>1854</v>
      </c>
      <c r="B25" s="323" t="s">
        <v>1862</v>
      </c>
      <c r="C25" s="1205">
        <v>8</v>
      </c>
      <c r="D25" s="109"/>
      <c r="E25" s="109"/>
      <c r="F25" s="109"/>
      <c r="G25" s="109"/>
      <c r="H25" s="109"/>
      <c r="I25" s="109"/>
      <c r="J25" s="75"/>
      <c r="K25" s="75"/>
      <c r="L25" s="75"/>
      <c r="M25" s="76"/>
    </row>
    <row r="26" spans="1:13" ht="12.75" customHeight="1">
      <c r="A26" s="850" t="s">
        <v>1855</v>
      </c>
      <c r="B26" s="323" t="s">
        <v>1861</v>
      </c>
      <c r="C26" s="1205">
        <v>41790</v>
      </c>
      <c r="D26" s="109"/>
      <c r="E26" s="109"/>
      <c r="F26" s="109"/>
      <c r="G26" s="109"/>
      <c r="H26" s="109"/>
      <c r="I26" s="109"/>
      <c r="J26" s="75"/>
      <c r="K26" s="75"/>
      <c r="L26" s="75"/>
      <c r="M26" s="76"/>
    </row>
    <row r="27" spans="1:13" ht="12.75" customHeight="1">
      <c r="A27" s="850" t="s">
        <v>1856</v>
      </c>
      <c r="B27" s="323"/>
      <c r="C27" s="1205" t="s">
        <v>1864</v>
      </c>
      <c r="D27" s="109"/>
      <c r="E27" s="109"/>
      <c r="F27" s="109"/>
      <c r="G27" s="109"/>
      <c r="H27" s="109"/>
      <c r="I27" s="109"/>
      <c r="J27" s="75"/>
      <c r="K27" s="75"/>
      <c r="L27" s="75"/>
      <c r="M27" s="76"/>
    </row>
    <row r="28" spans="1:13" ht="12.75" customHeight="1">
      <c r="A28" s="850" t="s">
        <v>1857</v>
      </c>
      <c r="B28" s="323" t="s">
        <v>1861</v>
      </c>
      <c r="C28" s="1205" t="s">
        <v>1865</v>
      </c>
      <c r="D28" s="109"/>
      <c r="E28" s="109"/>
      <c r="F28" s="109"/>
      <c r="G28" s="109"/>
      <c r="H28" s="109"/>
      <c r="I28" s="109"/>
      <c r="J28" s="75"/>
      <c r="K28" s="75"/>
      <c r="L28" s="75"/>
      <c r="M28" s="76"/>
    </row>
    <row r="29" spans="1:13" ht="12.75" customHeight="1">
      <c r="A29" s="850" t="s">
        <v>1858</v>
      </c>
      <c r="B29" s="323" t="s">
        <v>1861</v>
      </c>
      <c r="C29" s="1205" t="s">
        <v>1865</v>
      </c>
      <c r="D29" s="109"/>
      <c r="E29" s="109"/>
      <c r="F29" s="109"/>
      <c r="G29" s="109"/>
      <c r="H29" s="109"/>
      <c r="I29" s="109"/>
      <c r="J29" s="75"/>
      <c r="K29" s="75"/>
      <c r="L29" s="75"/>
      <c r="M29" s="76"/>
    </row>
    <row r="30" spans="1:13" ht="12.75" customHeight="1">
      <c r="A30" s="850" t="s">
        <v>1859</v>
      </c>
      <c r="B30" s="323" t="s">
        <v>1832</v>
      </c>
      <c r="C30" s="1205">
        <v>1</v>
      </c>
      <c r="D30" s="109"/>
      <c r="E30" s="109"/>
      <c r="F30" s="109"/>
      <c r="G30" s="109"/>
      <c r="H30" s="109"/>
      <c r="I30" s="109"/>
      <c r="J30" s="75"/>
      <c r="K30" s="75"/>
      <c r="L30" s="75"/>
      <c r="M30" s="76"/>
    </row>
    <row r="31" spans="1:13" ht="12.75" customHeight="1">
      <c r="A31" s="850" t="s">
        <v>1860</v>
      </c>
      <c r="B31" s="323" t="s">
        <v>1863</v>
      </c>
      <c r="C31" s="1205" t="s">
        <v>1866</v>
      </c>
      <c r="D31" s="109"/>
      <c r="E31" s="109"/>
      <c r="F31" s="109"/>
      <c r="G31" s="109"/>
      <c r="H31" s="109"/>
      <c r="I31" s="109"/>
      <c r="J31" s="75"/>
      <c r="K31" s="75"/>
      <c r="L31" s="75"/>
      <c r="M31" s="76"/>
    </row>
    <row r="32" spans="1:13" ht="12.75" customHeight="1">
      <c r="A32" s="850"/>
      <c r="B32" s="323"/>
      <c r="C32" s="1205"/>
      <c r="D32" s="109"/>
      <c r="E32" s="109"/>
      <c r="F32" s="109"/>
      <c r="G32" s="109"/>
      <c r="H32" s="109"/>
      <c r="I32" s="109"/>
      <c r="J32" s="75"/>
      <c r="K32" s="75"/>
      <c r="L32" s="75"/>
      <c r="M32" s="76"/>
    </row>
    <row r="33" spans="1:13" ht="12.75" customHeight="1">
      <c r="A33" s="1218" t="s">
        <v>1867</v>
      </c>
      <c r="B33" s="1218"/>
      <c r="C33" s="1227"/>
      <c r="D33" s="109"/>
      <c r="E33" s="109"/>
      <c r="F33" s="109"/>
      <c r="G33" s="109"/>
      <c r="H33" s="109"/>
      <c r="I33" s="109"/>
      <c r="J33" s="75"/>
      <c r="K33" s="75"/>
      <c r="L33" s="75"/>
      <c r="M33" s="76"/>
    </row>
    <row r="34" spans="1:13" ht="12.75" customHeight="1">
      <c r="A34" s="1216" t="s">
        <v>1868</v>
      </c>
      <c r="B34" s="1222" t="s">
        <v>1832</v>
      </c>
      <c r="C34" s="1231">
        <v>2</v>
      </c>
      <c r="D34" s="109"/>
      <c r="E34" s="109"/>
      <c r="F34" s="109"/>
      <c r="G34" s="109"/>
      <c r="H34" s="109"/>
      <c r="I34" s="109"/>
      <c r="J34" s="75"/>
      <c r="K34" s="75"/>
      <c r="L34" s="75"/>
      <c r="M34" s="76"/>
    </row>
    <row r="35" spans="1:13" ht="12.75" customHeight="1">
      <c r="A35" s="1216" t="s">
        <v>1869</v>
      </c>
      <c r="B35" s="1222" t="s">
        <v>1832</v>
      </c>
      <c r="C35" s="1231">
        <v>6</v>
      </c>
      <c r="D35" s="109"/>
      <c r="E35" s="109"/>
      <c r="F35" s="109"/>
      <c r="G35" s="109"/>
      <c r="H35" s="109"/>
      <c r="I35" s="109"/>
      <c r="J35" s="75"/>
      <c r="K35" s="75"/>
      <c r="L35" s="75"/>
      <c r="M35" s="76"/>
    </row>
    <row r="36" spans="1:13" ht="12.75" customHeight="1">
      <c r="A36" s="1216" t="s">
        <v>1870</v>
      </c>
      <c r="B36" s="1222" t="s">
        <v>1832</v>
      </c>
      <c r="C36" s="1231">
        <v>7</v>
      </c>
      <c r="D36" s="109"/>
      <c r="E36" s="109"/>
      <c r="F36" s="109"/>
      <c r="G36" s="109"/>
      <c r="H36" s="109"/>
      <c r="I36" s="109"/>
      <c r="J36" s="75"/>
      <c r="K36" s="75"/>
      <c r="L36" s="75"/>
      <c r="M36" s="76"/>
    </row>
    <row r="37" spans="1:13" ht="12.75" customHeight="1">
      <c r="A37" s="1218" t="s">
        <v>1871</v>
      </c>
      <c r="B37" s="1218"/>
      <c r="C37" s="1225"/>
      <c r="D37" s="109"/>
      <c r="E37" s="109"/>
      <c r="F37" s="109"/>
      <c r="G37" s="109"/>
      <c r="H37" s="109"/>
      <c r="I37" s="109"/>
      <c r="J37" s="75"/>
      <c r="K37" s="75"/>
      <c r="L37" s="75"/>
      <c r="M37" s="76"/>
    </row>
    <row r="38" spans="1:13" ht="12.75" customHeight="1">
      <c r="A38" s="1216" t="s">
        <v>1872</v>
      </c>
      <c r="B38" s="1222" t="s">
        <v>1832</v>
      </c>
      <c r="C38" s="1226" t="s">
        <v>1987</v>
      </c>
      <c r="D38" s="109"/>
      <c r="E38" s="109"/>
      <c r="F38" s="109"/>
      <c r="G38" s="109"/>
      <c r="H38" s="109"/>
      <c r="I38" s="109"/>
      <c r="J38" s="75"/>
      <c r="K38" s="75"/>
      <c r="L38" s="75"/>
      <c r="M38" s="76"/>
    </row>
    <row r="39" spans="1:13" ht="12.75" customHeight="1">
      <c r="A39" s="1216" t="s">
        <v>1873</v>
      </c>
      <c r="B39" s="1222" t="s">
        <v>1863</v>
      </c>
      <c r="C39" s="1226">
        <v>0.12</v>
      </c>
      <c r="D39" s="109"/>
      <c r="E39" s="109"/>
      <c r="F39" s="109"/>
      <c r="G39" s="109"/>
      <c r="H39" s="109"/>
      <c r="I39" s="109"/>
      <c r="J39" s="75"/>
      <c r="K39" s="75"/>
      <c r="L39" s="75"/>
      <c r="M39" s="76"/>
    </row>
    <row r="40" spans="1:13" ht="12.75" customHeight="1">
      <c r="A40" s="1216" t="s">
        <v>1874</v>
      </c>
      <c r="B40" s="1222" t="s">
        <v>1863</v>
      </c>
      <c r="C40" s="1226">
        <v>0.3</v>
      </c>
      <c r="D40" s="109"/>
      <c r="E40" s="109"/>
      <c r="F40" s="109"/>
      <c r="G40" s="109"/>
      <c r="H40" s="109"/>
      <c r="I40" s="109"/>
      <c r="J40" s="75"/>
      <c r="K40" s="75"/>
      <c r="L40" s="75"/>
      <c r="M40" s="76"/>
    </row>
    <row r="41" spans="1:13" ht="12.75" customHeight="1">
      <c r="A41" s="1216" t="s">
        <v>1875</v>
      </c>
      <c r="B41" s="1222" t="s">
        <v>1832</v>
      </c>
      <c r="C41" s="1228">
        <v>2</v>
      </c>
      <c r="D41" s="109"/>
      <c r="E41" s="109"/>
      <c r="F41" s="109"/>
      <c r="G41" s="109"/>
      <c r="H41" s="109"/>
      <c r="I41" s="109"/>
      <c r="J41" s="75"/>
      <c r="K41" s="75"/>
      <c r="L41" s="75"/>
      <c r="M41" s="76"/>
    </row>
    <row r="42" spans="1:13" ht="12.75" customHeight="1">
      <c r="A42" s="1216" t="s">
        <v>1983</v>
      </c>
      <c r="B42" s="1222" t="s">
        <v>1863</v>
      </c>
      <c r="C42" s="1228" t="s">
        <v>1988</v>
      </c>
      <c r="D42" s="109"/>
      <c r="E42" s="109"/>
      <c r="F42" s="109"/>
      <c r="G42" s="109"/>
      <c r="H42" s="109"/>
      <c r="I42" s="109"/>
      <c r="J42" s="75"/>
      <c r="K42" s="75"/>
      <c r="L42" s="75"/>
      <c r="M42" s="76"/>
    </row>
    <row r="43" spans="1:13" ht="12.75" customHeight="1">
      <c r="A43" s="1216" t="s">
        <v>1876</v>
      </c>
      <c r="B43" s="1222" t="s">
        <v>1838</v>
      </c>
      <c r="C43" s="1236">
        <v>3500000</v>
      </c>
      <c r="D43" s="109"/>
      <c r="E43" s="109"/>
      <c r="F43" s="109"/>
      <c r="G43" s="109"/>
      <c r="H43" s="109"/>
      <c r="I43" s="109"/>
      <c r="J43" s="75"/>
      <c r="K43" s="75"/>
      <c r="L43" s="75"/>
      <c r="M43" s="76"/>
    </row>
    <row r="44" spans="1:13" ht="12.75" customHeight="1">
      <c r="A44" s="1216" t="s">
        <v>1877</v>
      </c>
      <c r="B44" s="1222" t="s">
        <v>1863</v>
      </c>
      <c r="C44" s="1235">
        <v>0.15</v>
      </c>
      <c r="D44" s="109"/>
      <c r="E44" s="109"/>
      <c r="F44" s="109"/>
      <c r="G44" s="109"/>
      <c r="H44" s="109"/>
      <c r="I44" s="109"/>
      <c r="J44" s="75"/>
      <c r="K44" s="75"/>
      <c r="L44" s="75"/>
      <c r="M44" s="76"/>
    </row>
    <row r="45" spans="1:13" ht="12.75" customHeight="1">
      <c r="A45" s="1216" t="s">
        <v>1878</v>
      </c>
      <c r="B45" s="1222" t="s">
        <v>1832</v>
      </c>
      <c r="C45" s="1228">
        <v>24000</v>
      </c>
      <c r="D45" s="109"/>
      <c r="E45" s="109"/>
      <c r="F45" s="109"/>
      <c r="G45" s="109"/>
      <c r="H45" s="109"/>
      <c r="I45" s="109"/>
      <c r="J45" s="75"/>
      <c r="K45" s="75"/>
      <c r="L45" s="75"/>
      <c r="M45" s="76"/>
    </row>
    <row r="46" spans="1:13" ht="12.75" customHeight="1">
      <c r="A46" s="1216" t="s">
        <v>1879</v>
      </c>
      <c r="B46" s="1222" t="s">
        <v>1861</v>
      </c>
      <c r="C46" s="1238">
        <v>41455</v>
      </c>
      <c r="D46" s="109"/>
      <c r="E46" s="109"/>
      <c r="F46" s="109"/>
      <c r="G46" s="109"/>
      <c r="H46" s="109"/>
      <c r="I46" s="109"/>
      <c r="J46" s="75"/>
      <c r="K46" s="75"/>
      <c r="L46" s="75"/>
      <c r="M46" s="76"/>
    </row>
    <row r="47" spans="1:13" ht="12.75" customHeight="1">
      <c r="A47" s="1216" t="s">
        <v>1880</v>
      </c>
      <c r="B47" s="1222" t="s">
        <v>1881</v>
      </c>
      <c r="C47" s="1228">
        <v>44.3</v>
      </c>
      <c r="D47" s="109"/>
      <c r="E47" s="109"/>
      <c r="F47" s="109"/>
      <c r="G47" s="109"/>
      <c r="H47" s="109"/>
      <c r="I47" s="109"/>
      <c r="J47" s="75"/>
      <c r="K47" s="75"/>
      <c r="L47" s="75"/>
      <c r="M47" s="76"/>
    </row>
    <row r="48" spans="1:13" ht="12.75" customHeight="1">
      <c r="A48" s="1216" t="s">
        <v>1882</v>
      </c>
      <c r="B48" s="1222" t="s">
        <v>1863</v>
      </c>
      <c r="C48" s="1235">
        <v>0.7</v>
      </c>
      <c r="D48" s="109"/>
      <c r="E48" s="109"/>
      <c r="F48" s="109"/>
      <c r="G48" s="109"/>
      <c r="H48" s="109"/>
      <c r="I48" s="109"/>
      <c r="J48" s="75"/>
      <c r="K48" s="75"/>
      <c r="L48" s="75"/>
      <c r="M48" s="76"/>
    </row>
    <row r="49" spans="1:13" ht="12.75" customHeight="1">
      <c r="A49" s="1216" t="s">
        <v>1883</v>
      </c>
      <c r="B49" s="1222" t="s">
        <v>1832</v>
      </c>
      <c r="C49" s="1228">
        <v>52</v>
      </c>
      <c r="D49" s="109"/>
      <c r="E49" s="109"/>
      <c r="F49" s="109"/>
      <c r="G49" s="109"/>
      <c r="H49" s="109"/>
      <c r="I49" s="109"/>
      <c r="J49" s="75"/>
      <c r="K49" s="75"/>
      <c r="L49" s="75"/>
      <c r="M49" s="76"/>
    </row>
    <row r="50" spans="1:13" ht="12.75" customHeight="1">
      <c r="A50" s="1216" t="s">
        <v>1884</v>
      </c>
      <c r="B50" s="1222" t="s">
        <v>1838</v>
      </c>
      <c r="C50" s="1228" t="s">
        <v>1989</v>
      </c>
      <c r="D50" s="109"/>
      <c r="E50" s="109"/>
      <c r="F50" s="109"/>
      <c r="G50" s="109"/>
      <c r="H50" s="109"/>
      <c r="I50" s="109"/>
      <c r="J50" s="75"/>
      <c r="K50" s="75"/>
      <c r="L50" s="75"/>
      <c r="M50" s="76"/>
    </row>
    <row r="51" spans="1:13" ht="12.75" customHeight="1">
      <c r="A51" s="1216" t="s">
        <v>1885</v>
      </c>
      <c r="B51" s="1222" t="s">
        <v>1863</v>
      </c>
      <c r="C51" s="1228">
        <v>12</v>
      </c>
      <c r="D51" s="109"/>
      <c r="E51" s="109"/>
      <c r="F51" s="109"/>
      <c r="G51" s="109"/>
      <c r="H51" s="109"/>
      <c r="I51" s="109"/>
      <c r="J51" s="75"/>
      <c r="K51" s="75"/>
      <c r="L51" s="75"/>
      <c r="M51" s="76"/>
    </row>
    <row r="52" spans="1:13" ht="12.75" customHeight="1">
      <c r="A52" s="1219" t="s">
        <v>1886</v>
      </c>
      <c r="B52" s="1218"/>
      <c r="C52" s="1227"/>
      <c r="D52" s="109"/>
      <c r="E52" s="109"/>
      <c r="F52" s="109"/>
      <c r="G52" s="109"/>
      <c r="H52" s="109"/>
      <c r="I52" s="109"/>
      <c r="J52" s="75"/>
      <c r="K52" s="75"/>
      <c r="L52" s="75"/>
      <c r="M52" s="76"/>
    </row>
    <row r="53" spans="1:13" ht="12.75" customHeight="1">
      <c r="A53" s="1216" t="s">
        <v>1887</v>
      </c>
      <c r="B53" s="1222" t="s">
        <v>1888</v>
      </c>
      <c r="C53" s="1237">
        <v>47740299</v>
      </c>
      <c r="D53" s="109"/>
      <c r="E53" s="109"/>
      <c r="F53" s="109"/>
      <c r="G53" s="109"/>
      <c r="H53" s="109"/>
      <c r="I53" s="109"/>
      <c r="J53" s="75"/>
      <c r="K53" s="75"/>
      <c r="L53" s="75"/>
      <c r="M53" s="76"/>
    </row>
    <row r="54" spans="1:13" ht="12.75" customHeight="1">
      <c r="A54" s="1216" t="s">
        <v>1889</v>
      </c>
      <c r="B54" s="1222" t="s">
        <v>1863</v>
      </c>
      <c r="C54" s="1235">
        <v>2.8000000000000001E-2</v>
      </c>
      <c r="D54" s="109"/>
      <c r="E54" s="109"/>
      <c r="F54" s="109"/>
      <c r="G54" s="109"/>
      <c r="H54" s="109"/>
      <c r="I54" s="109"/>
      <c r="J54" s="75"/>
      <c r="K54" s="75"/>
      <c r="L54" s="75"/>
      <c r="M54" s="76"/>
    </row>
    <row r="55" spans="1:13" ht="12.75" customHeight="1">
      <c r="A55" s="1216" t="s">
        <v>1890</v>
      </c>
      <c r="B55" s="1222" t="s">
        <v>1838</v>
      </c>
      <c r="C55" s="1236">
        <v>40387346</v>
      </c>
      <c r="D55" s="109"/>
      <c r="E55" s="109"/>
      <c r="F55" s="109"/>
      <c r="G55" s="109"/>
      <c r="H55" s="109"/>
      <c r="I55" s="109"/>
      <c r="J55" s="75"/>
      <c r="K55" s="75"/>
      <c r="L55" s="75"/>
      <c r="M55" s="76"/>
    </row>
    <row r="56" spans="1:13" ht="12.75" customHeight="1">
      <c r="A56" s="1216" t="s">
        <v>1891</v>
      </c>
      <c r="B56" s="1222" t="s">
        <v>1881</v>
      </c>
      <c r="C56" s="1228">
        <v>12</v>
      </c>
      <c r="D56" s="109"/>
      <c r="E56" s="109"/>
      <c r="F56" s="109"/>
      <c r="G56" s="109"/>
      <c r="H56" s="109"/>
      <c r="I56" s="109"/>
      <c r="J56" s="75"/>
      <c r="K56" s="75"/>
      <c r="L56" s="75"/>
      <c r="M56" s="76"/>
    </row>
    <row r="57" spans="1:13" ht="12.75" customHeight="1">
      <c r="A57" s="1216" t="s">
        <v>1892</v>
      </c>
      <c r="B57" s="1222" t="s">
        <v>1863</v>
      </c>
      <c r="C57" s="1235">
        <v>0.02</v>
      </c>
      <c r="D57" s="109"/>
      <c r="E57" s="109"/>
      <c r="F57" s="109"/>
      <c r="G57" s="109"/>
      <c r="H57" s="109"/>
      <c r="I57" s="109"/>
      <c r="J57" s="75"/>
      <c r="K57" s="75"/>
      <c r="L57" s="75"/>
      <c r="M57" s="76"/>
    </row>
    <row r="58" spans="1:13" ht="12.75" customHeight="1">
      <c r="A58" s="1216" t="s">
        <v>1893</v>
      </c>
      <c r="B58" s="1222" t="s">
        <v>1863</v>
      </c>
      <c r="C58" s="1226">
        <v>4.4999999999999998E-2</v>
      </c>
      <c r="D58" s="109"/>
      <c r="E58" s="109"/>
      <c r="F58" s="109"/>
      <c r="G58" s="109"/>
      <c r="H58" s="109"/>
      <c r="I58" s="109"/>
      <c r="J58" s="75"/>
      <c r="K58" s="75"/>
      <c r="L58" s="75"/>
      <c r="M58" s="76"/>
    </row>
    <row r="59" spans="1:13" ht="12.75" customHeight="1">
      <c r="A59" s="1216" t="s">
        <v>1894</v>
      </c>
      <c r="B59" s="1222" t="s">
        <v>1863</v>
      </c>
      <c r="C59" s="1235">
        <v>0.05</v>
      </c>
      <c r="D59" s="109"/>
      <c r="E59" s="109"/>
      <c r="F59" s="109"/>
      <c r="G59" s="109"/>
      <c r="H59" s="109"/>
      <c r="I59" s="109"/>
      <c r="J59" s="75"/>
      <c r="K59" s="75"/>
      <c r="L59" s="75"/>
      <c r="M59" s="76"/>
    </row>
    <row r="60" spans="1:13" ht="12.75" customHeight="1">
      <c r="A60" s="1218" t="s">
        <v>1895</v>
      </c>
      <c r="B60" s="1218"/>
      <c r="C60" s="1225"/>
      <c r="D60" s="109"/>
      <c r="E60" s="109"/>
      <c r="F60" s="109"/>
      <c r="G60" s="109"/>
      <c r="H60" s="109"/>
      <c r="I60" s="109"/>
      <c r="J60" s="75"/>
      <c r="K60" s="75"/>
      <c r="L60" s="75"/>
      <c r="M60" s="76"/>
    </row>
    <row r="61" spans="1:13" ht="12.75" customHeight="1">
      <c r="A61" s="1216" t="s">
        <v>1896</v>
      </c>
      <c r="B61" s="1220" t="s">
        <v>1832</v>
      </c>
      <c r="C61" s="1248">
        <v>15</v>
      </c>
      <c r="D61" s="109"/>
      <c r="E61" s="109"/>
      <c r="F61" s="109"/>
      <c r="G61" s="109"/>
      <c r="H61" s="109"/>
      <c r="I61" s="109"/>
      <c r="J61" s="75"/>
      <c r="K61" s="75"/>
      <c r="L61" s="75"/>
      <c r="M61" s="76"/>
    </row>
    <row r="62" spans="1:13" ht="12.75" customHeight="1">
      <c r="A62" s="1216" t="s">
        <v>1897</v>
      </c>
      <c r="B62" s="1220" t="s">
        <v>1861</v>
      </c>
      <c r="C62" s="1249">
        <v>41486</v>
      </c>
      <c r="D62" s="109"/>
      <c r="E62" s="109"/>
      <c r="F62" s="109"/>
      <c r="G62" s="109"/>
      <c r="H62" s="109"/>
      <c r="I62" s="109"/>
      <c r="J62" s="75"/>
      <c r="K62" s="75"/>
      <c r="L62" s="75"/>
      <c r="M62" s="76"/>
    </row>
    <row r="63" spans="1:13" ht="12.75" customHeight="1">
      <c r="A63" s="1216" t="s">
        <v>1898</v>
      </c>
      <c r="B63" s="1220" t="s">
        <v>1863</v>
      </c>
      <c r="C63" s="1242">
        <v>1</v>
      </c>
      <c r="D63" s="109"/>
      <c r="E63" s="109"/>
      <c r="F63" s="109"/>
      <c r="G63" s="109"/>
      <c r="H63" s="109"/>
      <c r="I63" s="109"/>
      <c r="J63" s="75"/>
      <c r="K63" s="75"/>
      <c r="L63" s="75"/>
      <c r="M63" s="76"/>
    </row>
    <row r="64" spans="1:13" ht="12.75" customHeight="1">
      <c r="A64" s="1216" t="s">
        <v>1899</v>
      </c>
      <c r="B64" s="1220" t="s">
        <v>1832</v>
      </c>
      <c r="C64" s="1248">
        <v>12</v>
      </c>
      <c r="D64" s="109"/>
      <c r="E64" s="109"/>
      <c r="F64" s="109"/>
      <c r="G64" s="109"/>
      <c r="H64" s="109"/>
      <c r="I64" s="109"/>
      <c r="J64" s="75"/>
      <c r="K64" s="75"/>
      <c r="L64" s="75"/>
      <c r="M64" s="76"/>
    </row>
    <row r="65" spans="1:13" ht="12.75" customHeight="1">
      <c r="A65" s="1216" t="s">
        <v>1900</v>
      </c>
      <c r="B65" s="1220" t="s">
        <v>1863</v>
      </c>
      <c r="C65" s="1242">
        <v>0.8</v>
      </c>
      <c r="D65" s="109"/>
      <c r="E65" s="109"/>
      <c r="F65" s="109"/>
      <c r="G65" s="109"/>
      <c r="H65" s="109"/>
      <c r="I65" s="109"/>
      <c r="J65" s="75"/>
      <c r="K65" s="75"/>
      <c r="L65" s="75"/>
      <c r="M65" s="76"/>
    </row>
    <row r="66" spans="1:13" ht="12.75" customHeight="1">
      <c r="A66" s="1216" t="s">
        <v>1901</v>
      </c>
      <c r="B66" s="1221" t="s">
        <v>1863</v>
      </c>
      <c r="C66" s="1242">
        <v>0.8</v>
      </c>
      <c r="D66" s="109"/>
      <c r="E66" s="109"/>
      <c r="F66" s="109"/>
      <c r="G66" s="109"/>
      <c r="H66" s="109"/>
      <c r="I66" s="109"/>
      <c r="J66" s="75"/>
      <c r="K66" s="75"/>
      <c r="L66" s="75"/>
      <c r="M66" s="76"/>
    </row>
    <row r="67" spans="1:13" ht="12.75" customHeight="1">
      <c r="A67" s="1218" t="s">
        <v>1902</v>
      </c>
      <c r="B67" s="1218"/>
      <c r="C67" s="1225"/>
      <c r="D67" s="109"/>
      <c r="E67" s="109"/>
      <c r="F67" s="109"/>
      <c r="G67" s="109"/>
      <c r="H67" s="109"/>
      <c r="I67" s="109"/>
      <c r="J67" s="75"/>
      <c r="K67" s="75"/>
      <c r="L67" s="75"/>
      <c r="M67" s="76"/>
    </row>
    <row r="68" spans="1:13" ht="12.75" customHeight="1">
      <c r="A68" s="1215" t="s">
        <v>1903</v>
      </c>
      <c r="B68" s="1220" t="s">
        <v>1861</v>
      </c>
      <c r="C68" s="1230">
        <v>41455</v>
      </c>
      <c r="D68" s="109"/>
      <c r="E68" s="109"/>
      <c r="F68" s="109"/>
      <c r="G68" s="109"/>
      <c r="H68" s="109"/>
      <c r="I68" s="109"/>
      <c r="J68" s="75"/>
      <c r="K68" s="75"/>
      <c r="L68" s="75"/>
      <c r="M68" s="76"/>
    </row>
    <row r="69" spans="1:13" ht="12.75" customHeight="1">
      <c r="A69" s="1215" t="s">
        <v>1904</v>
      </c>
      <c r="B69" s="1220" t="s">
        <v>1832</v>
      </c>
      <c r="C69" s="1228">
        <v>10</v>
      </c>
      <c r="D69" s="109"/>
      <c r="E69" s="109"/>
      <c r="F69" s="109"/>
      <c r="G69" s="109"/>
      <c r="H69" s="109"/>
      <c r="I69" s="109"/>
      <c r="J69" s="75"/>
      <c r="K69" s="75"/>
      <c r="L69" s="75"/>
      <c r="M69" s="76"/>
    </row>
    <row r="70" spans="1:13" ht="12.75" customHeight="1">
      <c r="A70" s="1215" t="s">
        <v>1905</v>
      </c>
      <c r="B70" s="1220" t="s">
        <v>1832</v>
      </c>
      <c r="C70" s="1228">
        <v>230</v>
      </c>
      <c r="D70" s="109"/>
      <c r="E70" s="109"/>
      <c r="F70" s="109"/>
      <c r="G70" s="109"/>
      <c r="H70" s="109"/>
      <c r="I70" s="109"/>
      <c r="J70" s="75"/>
      <c r="K70" s="75"/>
      <c r="L70" s="75"/>
      <c r="M70" s="76"/>
    </row>
    <row r="71" spans="1:13" ht="12.75" customHeight="1">
      <c r="A71" s="1215" t="s">
        <v>1906</v>
      </c>
      <c r="B71" s="1220" t="s">
        <v>1861</v>
      </c>
      <c r="C71" s="1230">
        <v>41638</v>
      </c>
      <c r="D71" s="109"/>
      <c r="E71" s="109"/>
      <c r="F71" s="109"/>
      <c r="G71" s="109"/>
      <c r="H71" s="109"/>
      <c r="I71" s="109"/>
      <c r="J71" s="75"/>
      <c r="K71" s="75"/>
      <c r="L71" s="75"/>
      <c r="M71" s="76"/>
    </row>
    <row r="72" spans="1:13" ht="12.75" customHeight="1">
      <c r="A72" s="1215" t="s">
        <v>1907</v>
      </c>
      <c r="B72" s="1220" t="s">
        <v>1832</v>
      </c>
      <c r="C72" s="1228">
        <v>12</v>
      </c>
      <c r="D72" s="109"/>
      <c r="E72" s="109"/>
      <c r="F72" s="109"/>
      <c r="G72" s="109"/>
      <c r="H72" s="109"/>
      <c r="I72" s="109"/>
      <c r="J72" s="75"/>
      <c r="K72" s="75"/>
      <c r="L72" s="75"/>
      <c r="M72" s="76"/>
    </row>
    <row r="73" spans="1:13" ht="12.75" customHeight="1">
      <c r="A73" s="1215" t="s">
        <v>1908</v>
      </c>
      <c r="B73" s="1221" t="s">
        <v>1832</v>
      </c>
      <c r="C73" s="1228">
        <v>340</v>
      </c>
      <c r="D73" s="109"/>
      <c r="E73" s="109"/>
      <c r="F73" s="109"/>
      <c r="G73" s="109"/>
      <c r="H73" s="109"/>
      <c r="I73" s="109"/>
      <c r="J73" s="75"/>
      <c r="K73" s="75"/>
      <c r="L73" s="75"/>
      <c r="M73" s="76"/>
    </row>
    <row r="74" spans="1:13" ht="12.75" customHeight="1">
      <c r="A74" s="1215" t="s">
        <v>1909</v>
      </c>
      <c r="B74" s="1221" t="s">
        <v>1863</v>
      </c>
      <c r="C74" s="1226">
        <v>1.32E-2</v>
      </c>
      <c r="D74" s="109"/>
      <c r="E74" s="109"/>
      <c r="F74" s="109"/>
      <c r="G74" s="109"/>
      <c r="H74" s="109"/>
      <c r="I74" s="109"/>
      <c r="J74" s="75"/>
      <c r="K74" s="75"/>
      <c r="L74" s="75"/>
      <c r="M74" s="76"/>
    </row>
    <row r="75" spans="1:13" ht="12.75" customHeight="1">
      <c r="A75" s="1218" t="s">
        <v>1910</v>
      </c>
      <c r="B75" s="1218"/>
      <c r="C75" s="1225"/>
      <c r="D75" s="109"/>
      <c r="E75" s="109"/>
      <c r="F75" s="109"/>
      <c r="G75" s="109"/>
      <c r="H75" s="109"/>
      <c r="I75" s="109"/>
      <c r="J75" s="75"/>
      <c r="K75" s="75"/>
      <c r="L75" s="75"/>
      <c r="M75" s="76"/>
    </row>
    <row r="76" spans="1:13" ht="12.75" customHeight="1">
      <c r="A76" s="1215" t="s">
        <v>1911</v>
      </c>
      <c r="B76" s="1220" t="s">
        <v>1832</v>
      </c>
      <c r="C76" s="1228">
        <v>408</v>
      </c>
      <c r="D76" s="109"/>
      <c r="E76" s="109"/>
      <c r="F76" s="109"/>
      <c r="G76" s="109"/>
      <c r="H76" s="109"/>
      <c r="I76" s="109"/>
      <c r="J76" s="75"/>
      <c r="K76" s="75"/>
      <c r="L76" s="75"/>
      <c r="M76" s="76"/>
    </row>
    <row r="77" spans="1:13" ht="12.75" customHeight="1">
      <c r="A77" s="1215" t="s">
        <v>1912</v>
      </c>
      <c r="B77" s="1220" t="s">
        <v>1832</v>
      </c>
      <c r="C77" s="1228">
        <v>4</v>
      </c>
      <c r="D77" s="109"/>
      <c r="E77" s="109"/>
      <c r="F77" s="109"/>
      <c r="G77" s="109"/>
      <c r="H77" s="109"/>
      <c r="I77" s="109"/>
      <c r="J77" s="75"/>
      <c r="K77" s="75"/>
      <c r="L77" s="75"/>
      <c r="M77" s="76"/>
    </row>
    <row r="78" spans="1:13" ht="12.75" customHeight="1">
      <c r="A78" s="1215" t="s">
        <v>1913</v>
      </c>
      <c r="B78" s="1220" t="s">
        <v>1832</v>
      </c>
      <c r="C78" s="1228">
        <v>4</v>
      </c>
      <c r="D78" s="109"/>
      <c r="E78" s="109"/>
      <c r="F78" s="109"/>
      <c r="G78" s="109"/>
      <c r="H78" s="109"/>
      <c r="I78" s="109"/>
      <c r="J78" s="75"/>
      <c r="K78" s="75"/>
      <c r="L78" s="75"/>
      <c r="M78" s="76"/>
    </row>
    <row r="79" spans="1:13" ht="12.75" customHeight="1">
      <c r="A79" s="1215" t="s">
        <v>1914</v>
      </c>
      <c r="B79" s="1220" t="s">
        <v>1832</v>
      </c>
      <c r="C79" s="1228">
        <v>4</v>
      </c>
      <c r="D79" s="109"/>
      <c r="E79" s="109"/>
      <c r="F79" s="109"/>
      <c r="G79" s="109"/>
      <c r="H79" s="109"/>
      <c r="I79" s="109"/>
      <c r="J79" s="75"/>
      <c r="K79" s="75"/>
      <c r="L79" s="75"/>
      <c r="M79" s="76"/>
    </row>
    <row r="80" spans="1:13" ht="12.75" customHeight="1">
      <c r="A80" s="1215" t="s">
        <v>1915</v>
      </c>
      <c r="B80" s="1222" t="s">
        <v>1832</v>
      </c>
      <c r="C80" s="1228">
        <v>12</v>
      </c>
      <c r="D80" s="109"/>
      <c r="E80" s="109"/>
      <c r="F80" s="109"/>
      <c r="G80" s="109"/>
      <c r="H80" s="109"/>
      <c r="I80" s="109"/>
      <c r="J80" s="75"/>
      <c r="K80" s="75"/>
      <c r="L80" s="75"/>
      <c r="M80" s="76"/>
    </row>
    <row r="81" spans="1:13" ht="12.75" customHeight="1">
      <c r="A81" s="1215" t="s">
        <v>1916</v>
      </c>
      <c r="B81" s="1220" t="s">
        <v>1861</v>
      </c>
      <c r="C81" s="1238">
        <v>41455</v>
      </c>
      <c r="D81" s="109"/>
      <c r="E81" s="109"/>
      <c r="F81" s="109"/>
      <c r="G81" s="109"/>
      <c r="H81" s="109"/>
      <c r="I81" s="109"/>
      <c r="J81" s="75"/>
      <c r="K81" s="75"/>
      <c r="L81" s="75"/>
      <c r="M81" s="76"/>
    </row>
    <row r="82" spans="1:13" ht="12.75" customHeight="1">
      <c r="A82" s="1215" t="s">
        <v>1917</v>
      </c>
      <c r="B82" s="1221" t="s">
        <v>1863</v>
      </c>
      <c r="C82" s="1235">
        <v>0.5</v>
      </c>
      <c r="D82" s="109"/>
      <c r="E82" s="109"/>
      <c r="F82" s="109"/>
      <c r="G82" s="109"/>
      <c r="H82" s="109"/>
      <c r="I82" s="109"/>
      <c r="J82" s="75"/>
      <c r="K82" s="75"/>
      <c r="L82" s="75"/>
      <c r="M82" s="76"/>
    </row>
    <row r="83" spans="1:13" ht="12.75" customHeight="1">
      <c r="A83" s="1218" t="s">
        <v>1918</v>
      </c>
      <c r="B83" s="1224"/>
      <c r="C83" s="1225"/>
      <c r="D83" s="109"/>
      <c r="E83" s="109"/>
      <c r="F83" s="109"/>
      <c r="G83" s="109"/>
      <c r="H83" s="109"/>
      <c r="I83" s="109"/>
      <c r="J83" s="75"/>
      <c r="K83" s="75"/>
      <c r="L83" s="75"/>
      <c r="M83" s="76"/>
    </row>
    <row r="84" spans="1:13" ht="12.75" customHeight="1">
      <c r="A84" s="1215" t="s">
        <v>1919</v>
      </c>
      <c r="B84" s="1220" t="s">
        <v>1832</v>
      </c>
      <c r="C84" s="1239">
        <v>21800</v>
      </c>
      <c r="D84" s="109"/>
      <c r="E84" s="109"/>
      <c r="F84" s="109"/>
      <c r="G84" s="109"/>
      <c r="H84" s="109"/>
      <c r="I84" s="109"/>
      <c r="J84" s="75"/>
      <c r="K84" s="75"/>
      <c r="L84" s="75"/>
      <c r="M84" s="76"/>
    </row>
    <row r="85" spans="1:13" ht="12.75" customHeight="1">
      <c r="A85" s="1215" t="s">
        <v>1920</v>
      </c>
      <c r="B85" s="1220" t="s">
        <v>1863</v>
      </c>
      <c r="C85" s="1242">
        <v>0.92</v>
      </c>
      <c r="D85" s="109"/>
      <c r="E85" s="109"/>
      <c r="F85" s="109"/>
      <c r="G85" s="109"/>
      <c r="H85" s="109"/>
      <c r="I85" s="109"/>
      <c r="J85" s="75"/>
      <c r="K85" s="75"/>
      <c r="L85" s="75"/>
      <c r="M85" s="76"/>
    </row>
    <row r="86" spans="1:13" ht="12.75" customHeight="1">
      <c r="A86" s="1215" t="s">
        <v>1921</v>
      </c>
      <c r="B86" s="1220" t="s">
        <v>1861</v>
      </c>
      <c r="C86" s="1244">
        <v>41364</v>
      </c>
      <c r="D86" s="109"/>
      <c r="E86" s="109"/>
      <c r="F86" s="109"/>
      <c r="G86" s="109"/>
      <c r="H86" s="109"/>
      <c r="I86" s="109"/>
      <c r="J86" s="75"/>
      <c r="K86" s="75"/>
      <c r="L86" s="75"/>
      <c r="M86" s="76"/>
    </row>
    <row r="87" spans="1:13" ht="12.75" customHeight="1">
      <c r="A87" s="1215" t="s">
        <v>1922</v>
      </c>
      <c r="B87" s="1220" t="s">
        <v>1861</v>
      </c>
      <c r="C87" s="1233">
        <v>41425</v>
      </c>
      <c r="D87" s="109"/>
      <c r="E87" s="109"/>
      <c r="F87" s="109"/>
      <c r="G87" s="109"/>
      <c r="H87" s="109"/>
      <c r="I87" s="109"/>
      <c r="J87" s="75"/>
      <c r="K87" s="75"/>
      <c r="L87" s="75"/>
      <c r="M87" s="76"/>
    </row>
    <row r="88" spans="1:13" ht="12.75" customHeight="1">
      <c r="A88" s="1215" t="s">
        <v>1923</v>
      </c>
      <c r="B88" s="1220" t="s">
        <v>1861</v>
      </c>
      <c r="C88" s="1233">
        <v>41333</v>
      </c>
      <c r="D88" s="109"/>
      <c r="E88" s="109"/>
      <c r="F88" s="109"/>
      <c r="G88" s="109"/>
      <c r="H88" s="109"/>
      <c r="I88" s="109"/>
      <c r="J88" s="75"/>
      <c r="K88" s="75"/>
      <c r="L88" s="75"/>
      <c r="M88" s="76"/>
    </row>
    <row r="89" spans="1:13" ht="12.75" customHeight="1">
      <c r="A89" s="1215" t="s">
        <v>1924</v>
      </c>
      <c r="B89" s="1220" t="s">
        <v>1861</v>
      </c>
      <c r="C89" s="1232">
        <v>12</v>
      </c>
      <c r="D89" s="109"/>
      <c r="E89" s="109"/>
      <c r="F89" s="109"/>
      <c r="G89" s="109"/>
      <c r="H89" s="109"/>
      <c r="I89" s="109"/>
      <c r="J89" s="75"/>
      <c r="K89" s="75"/>
      <c r="L89" s="75"/>
      <c r="M89" s="76"/>
    </row>
    <row r="90" spans="1:13" ht="12.75" customHeight="1">
      <c r="A90" s="1215" t="s">
        <v>1925</v>
      </c>
      <c r="B90" s="1220" t="s">
        <v>1926</v>
      </c>
      <c r="C90" s="1232">
        <v>17.5</v>
      </c>
      <c r="D90" s="109"/>
      <c r="E90" s="109"/>
      <c r="F90" s="109"/>
      <c r="G90" s="109"/>
      <c r="H90" s="109"/>
      <c r="I90" s="109"/>
      <c r="J90" s="75"/>
      <c r="K90" s="75"/>
      <c r="L90" s="75"/>
      <c r="M90" s="76"/>
    </row>
    <row r="91" spans="1:13" ht="12.75" customHeight="1">
      <c r="A91" s="1215" t="s">
        <v>1927</v>
      </c>
      <c r="B91" s="1220" t="s">
        <v>1926</v>
      </c>
      <c r="C91" s="1232">
        <v>1.2</v>
      </c>
      <c r="D91" s="109"/>
      <c r="E91" s="109"/>
      <c r="F91" s="109"/>
      <c r="G91" s="109"/>
      <c r="H91" s="109"/>
      <c r="I91" s="109"/>
      <c r="J91" s="75"/>
      <c r="K91" s="75"/>
      <c r="L91" s="75"/>
      <c r="M91" s="76"/>
    </row>
    <row r="92" spans="1:13" ht="12.75" customHeight="1">
      <c r="A92" s="1215" t="s">
        <v>1928</v>
      </c>
      <c r="B92" s="1220" t="s">
        <v>1863</v>
      </c>
      <c r="C92" s="1241">
        <v>0.4</v>
      </c>
      <c r="D92" s="109"/>
      <c r="E92" s="109"/>
      <c r="F92" s="109"/>
      <c r="G92" s="109"/>
      <c r="H92" s="109"/>
      <c r="I92" s="109"/>
      <c r="J92" s="75"/>
      <c r="K92" s="75"/>
      <c r="L92" s="75"/>
      <c r="M92" s="76"/>
    </row>
    <row r="93" spans="1:13" ht="12.75" customHeight="1">
      <c r="A93" s="1215" t="s">
        <v>1929</v>
      </c>
      <c r="B93" s="1220" t="s">
        <v>1863</v>
      </c>
      <c r="C93" s="1240">
        <v>1</v>
      </c>
      <c r="D93" s="109"/>
      <c r="E93" s="109"/>
      <c r="F93" s="109"/>
      <c r="G93" s="109"/>
      <c r="H93" s="109"/>
      <c r="I93" s="109"/>
      <c r="J93" s="75"/>
      <c r="K93" s="75"/>
      <c r="L93" s="75"/>
      <c r="M93" s="76"/>
    </row>
    <row r="94" spans="1:13" ht="12.75" customHeight="1">
      <c r="A94" s="1215" t="s">
        <v>1930</v>
      </c>
      <c r="B94" s="1221" t="s">
        <v>1863</v>
      </c>
      <c r="C94" s="1240">
        <v>1</v>
      </c>
      <c r="D94" s="109"/>
      <c r="E94" s="109"/>
      <c r="F94" s="109"/>
      <c r="G94" s="109"/>
      <c r="H94" s="109"/>
      <c r="I94" s="109"/>
      <c r="J94" s="75"/>
      <c r="K94" s="75"/>
      <c r="L94" s="75"/>
      <c r="M94" s="76"/>
    </row>
    <row r="95" spans="1:13" ht="12.75" customHeight="1">
      <c r="A95" s="1215" t="s">
        <v>1931</v>
      </c>
      <c r="B95" s="1221" t="s">
        <v>1863</v>
      </c>
      <c r="C95" s="1240">
        <v>1</v>
      </c>
      <c r="D95" s="109"/>
      <c r="E95" s="109"/>
      <c r="F95" s="109"/>
      <c r="G95" s="109"/>
      <c r="H95" s="109"/>
      <c r="I95" s="109"/>
      <c r="J95" s="75"/>
      <c r="K95" s="75"/>
      <c r="L95" s="75"/>
      <c r="M95" s="76"/>
    </row>
    <row r="96" spans="1:13" ht="12.75" customHeight="1">
      <c r="A96" s="1215" t="s">
        <v>1932</v>
      </c>
      <c r="B96" s="1221" t="s">
        <v>1863</v>
      </c>
      <c r="C96" s="1240">
        <v>1</v>
      </c>
      <c r="D96" s="109"/>
      <c r="E96" s="109"/>
      <c r="F96" s="109"/>
      <c r="G96" s="109"/>
      <c r="H96" s="109"/>
      <c r="I96" s="109"/>
      <c r="J96" s="75"/>
      <c r="K96" s="75"/>
      <c r="L96" s="75"/>
      <c r="M96" s="76"/>
    </row>
    <row r="97" spans="1:13" ht="12.75" customHeight="1">
      <c r="A97" s="1215" t="s">
        <v>1933</v>
      </c>
      <c r="B97" s="1221" t="s">
        <v>1832</v>
      </c>
      <c r="C97" s="1232">
        <v>16</v>
      </c>
      <c r="D97" s="109"/>
      <c r="E97" s="109"/>
      <c r="F97" s="109"/>
      <c r="G97" s="109"/>
      <c r="H97" s="109"/>
      <c r="I97" s="109"/>
      <c r="J97" s="75"/>
      <c r="K97" s="75"/>
      <c r="L97" s="75"/>
      <c r="M97" s="76"/>
    </row>
    <row r="98" spans="1:13" ht="12.75" customHeight="1">
      <c r="A98" s="1215" t="s">
        <v>1934</v>
      </c>
      <c r="B98" s="1221" t="s">
        <v>1861</v>
      </c>
      <c r="C98" s="1234">
        <v>41455</v>
      </c>
      <c r="D98" s="109"/>
      <c r="E98" s="109"/>
      <c r="F98" s="109"/>
      <c r="G98" s="109"/>
      <c r="H98" s="109"/>
      <c r="I98" s="109"/>
      <c r="J98" s="75"/>
      <c r="K98" s="75"/>
      <c r="L98" s="75"/>
      <c r="M98" s="76"/>
    </row>
    <row r="99" spans="1:13" ht="12.75" customHeight="1">
      <c r="A99" s="1215" t="s">
        <v>1935</v>
      </c>
      <c r="B99" s="1221" t="s">
        <v>1861</v>
      </c>
      <c r="C99" s="1234">
        <v>41517</v>
      </c>
      <c r="D99" s="109"/>
      <c r="E99" s="109"/>
      <c r="F99" s="109"/>
      <c r="G99" s="109"/>
      <c r="H99" s="109"/>
      <c r="I99" s="109"/>
      <c r="J99" s="75"/>
      <c r="K99" s="75"/>
      <c r="L99" s="75"/>
      <c r="M99" s="76"/>
    </row>
    <row r="100" spans="1:13" ht="12.75" customHeight="1">
      <c r="A100" s="1215" t="s">
        <v>1936</v>
      </c>
      <c r="B100" s="1221" t="s">
        <v>1863</v>
      </c>
      <c r="C100" s="1240">
        <v>0.04</v>
      </c>
      <c r="D100" s="109"/>
      <c r="E100" s="109"/>
      <c r="F100" s="109"/>
      <c r="G100" s="109"/>
      <c r="H100" s="109"/>
      <c r="I100" s="109"/>
      <c r="J100" s="75"/>
      <c r="K100" s="75"/>
      <c r="L100" s="75"/>
      <c r="M100" s="76"/>
    </row>
    <row r="101" spans="1:13" ht="12.75" customHeight="1">
      <c r="A101" s="1215" t="s">
        <v>1937</v>
      </c>
      <c r="B101" s="1221" t="s">
        <v>1863</v>
      </c>
      <c r="C101" s="1240">
        <v>1</v>
      </c>
      <c r="D101" s="109"/>
      <c r="E101" s="109"/>
      <c r="F101" s="109"/>
      <c r="G101" s="109"/>
      <c r="H101" s="109"/>
      <c r="I101" s="109"/>
      <c r="J101" s="75"/>
      <c r="K101" s="75"/>
      <c r="L101" s="75"/>
      <c r="M101" s="76"/>
    </row>
    <row r="102" spans="1:13" ht="12.75" customHeight="1">
      <c r="A102" s="1215" t="s">
        <v>1938</v>
      </c>
      <c r="B102" s="1221" t="s">
        <v>1832</v>
      </c>
      <c r="C102" s="1243">
        <v>0</v>
      </c>
      <c r="D102" s="109"/>
      <c r="E102" s="109"/>
      <c r="F102" s="109"/>
      <c r="G102" s="109"/>
      <c r="H102" s="109"/>
      <c r="I102" s="109"/>
      <c r="J102" s="75"/>
      <c r="K102" s="75"/>
      <c r="L102" s="75"/>
      <c r="M102" s="76"/>
    </row>
    <row r="103" spans="1:13" ht="12.75" customHeight="1">
      <c r="A103" s="1215" t="s">
        <v>1939</v>
      </c>
      <c r="B103" s="1221" t="s">
        <v>1863</v>
      </c>
      <c r="C103" s="1240">
        <v>1</v>
      </c>
      <c r="D103" s="109"/>
      <c r="E103" s="109"/>
      <c r="F103" s="109"/>
      <c r="G103" s="109"/>
      <c r="H103" s="109"/>
      <c r="I103" s="109"/>
      <c r="J103" s="75"/>
      <c r="K103" s="75"/>
      <c r="L103" s="75"/>
      <c r="M103" s="76"/>
    </row>
    <row r="104" spans="1:13" ht="12.75" customHeight="1">
      <c r="A104" s="1215" t="s">
        <v>1940</v>
      </c>
      <c r="B104" s="1221" t="s">
        <v>1863</v>
      </c>
      <c r="C104" s="1240">
        <v>1</v>
      </c>
      <c r="D104" s="109"/>
      <c r="E104" s="109"/>
      <c r="F104" s="109"/>
      <c r="G104" s="109"/>
      <c r="H104" s="109"/>
      <c r="I104" s="109"/>
      <c r="J104" s="75"/>
      <c r="K104" s="75"/>
      <c r="L104" s="75"/>
      <c r="M104" s="76"/>
    </row>
    <row r="105" spans="1:13" ht="12.75" customHeight="1">
      <c r="A105" s="1215" t="s">
        <v>1941</v>
      </c>
      <c r="B105" s="1221" t="s">
        <v>1832</v>
      </c>
      <c r="C105" s="1243">
        <v>12</v>
      </c>
      <c r="D105" s="109"/>
      <c r="E105" s="109"/>
      <c r="F105" s="109"/>
      <c r="G105" s="109"/>
      <c r="H105" s="109"/>
      <c r="I105" s="109"/>
      <c r="J105" s="75"/>
      <c r="K105" s="75"/>
      <c r="L105" s="75"/>
      <c r="M105" s="76"/>
    </row>
    <row r="106" spans="1:13" ht="12.75" customHeight="1">
      <c r="A106" s="1215" t="s">
        <v>1942</v>
      </c>
      <c r="B106" s="1221" t="s">
        <v>1863</v>
      </c>
      <c r="C106" s="1240">
        <v>1</v>
      </c>
      <c r="D106" s="109"/>
      <c r="E106" s="109"/>
      <c r="F106" s="109"/>
      <c r="G106" s="109"/>
      <c r="H106" s="109"/>
      <c r="I106" s="109"/>
      <c r="J106" s="75"/>
      <c r="K106" s="75"/>
      <c r="L106" s="75"/>
      <c r="M106" s="76"/>
    </row>
    <row r="107" spans="1:13" ht="12.75" customHeight="1">
      <c r="A107" s="1218" t="s">
        <v>1943</v>
      </c>
      <c r="B107" s="1224"/>
      <c r="C107" s="1225"/>
      <c r="D107" s="109"/>
      <c r="E107" s="109"/>
      <c r="F107" s="109"/>
      <c r="G107" s="109"/>
      <c r="H107" s="109"/>
      <c r="I107" s="109"/>
      <c r="J107" s="75"/>
      <c r="K107" s="75"/>
      <c r="L107" s="75"/>
      <c r="M107" s="76"/>
    </row>
    <row r="108" spans="1:13" ht="12.75" customHeight="1">
      <c r="A108" s="1215" t="s">
        <v>1944</v>
      </c>
      <c r="B108" s="1220" t="s">
        <v>1862</v>
      </c>
      <c r="C108" s="1231">
        <v>4</v>
      </c>
      <c r="D108" s="109"/>
      <c r="E108" s="109"/>
      <c r="F108" s="109"/>
      <c r="G108" s="109"/>
      <c r="H108" s="109"/>
      <c r="I108" s="109"/>
      <c r="J108" s="75"/>
      <c r="K108" s="75"/>
      <c r="L108" s="75"/>
      <c r="M108" s="76"/>
    </row>
    <row r="109" spans="1:13" ht="12.75" customHeight="1">
      <c r="A109" s="1215" t="s">
        <v>1945</v>
      </c>
      <c r="B109" s="1220" t="s">
        <v>1832</v>
      </c>
      <c r="C109" s="1231">
        <v>4</v>
      </c>
      <c r="D109" s="109"/>
      <c r="E109" s="109"/>
      <c r="F109" s="109"/>
      <c r="G109" s="109"/>
      <c r="H109" s="109"/>
      <c r="I109" s="109"/>
      <c r="J109" s="75"/>
      <c r="K109" s="75"/>
      <c r="L109" s="75"/>
      <c r="M109" s="76"/>
    </row>
    <row r="110" spans="1:13" ht="12.75" customHeight="1">
      <c r="A110" s="1215" t="s">
        <v>1984</v>
      </c>
      <c r="B110" s="1220" t="s">
        <v>1861</v>
      </c>
      <c r="C110" s="1244">
        <v>41455</v>
      </c>
      <c r="D110" s="109"/>
      <c r="E110" s="109"/>
      <c r="F110" s="109"/>
      <c r="G110" s="109"/>
      <c r="H110" s="109"/>
      <c r="I110" s="109"/>
      <c r="J110" s="75"/>
      <c r="K110" s="75"/>
      <c r="L110" s="75"/>
      <c r="M110" s="76"/>
    </row>
    <row r="111" spans="1:13" ht="12.75" customHeight="1">
      <c r="A111" s="1215" t="s">
        <v>1985</v>
      </c>
      <c r="B111" s="1220" t="s">
        <v>1861</v>
      </c>
      <c r="C111" s="1244">
        <v>41455</v>
      </c>
      <c r="D111" s="109"/>
      <c r="E111" s="109"/>
      <c r="F111" s="109"/>
      <c r="G111" s="109"/>
      <c r="H111" s="109"/>
      <c r="I111" s="109"/>
      <c r="J111" s="75"/>
      <c r="K111" s="75"/>
      <c r="L111" s="75"/>
      <c r="M111" s="76"/>
    </row>
    <row r="112" spans="1:13" ht="12.75" customHeight="1">
      <c r="A112" s="1215" t="s">
        <v>1986</v>
      </c>
      <c r="B112" s="1220" t="s">
        <v>1861</v>
      </c>
      <c r="C112" s="1244">
        <v>41455</v>
      </c>
      <c r="D112" s="109"/>
      <c r="E112" s="109"/>
      <c r="F112" s="109"/>
      <c r="G112" s="109"/>
      <c r="H112" s="109"/>
      <c r="I112" s="109"/>
      <c r="J112" s="75"/>
      <c r="K112" s="75"/>
      <c r="L112" s="75"/>
      <c r="M112" s="76"/>
    </row>
    <row r="113" spans="1:13" ht="12.75" customHeight="1">
      <c r="A113" s="1215" t="s">
        <v>1946</v>
      </c>
      <c r="B113" s="1220" t="s">
        <v>1861</v>
      </c>
      <c r="C113" s="1247">
        <v>41305</v>
      </c>
      <c r="D113" s="109"/>
      <c r="E113" s="109"/>
      <c r="F113" s="109"/>
      <c r="G113" s="109"/>
      <c r="H113" s="109"/>
      <c r="I113" s="109"/>
      <c r="J113" s="75"/>
      <c r="K113" s="75"/>
      <c r="L113" s="75"/>
      <c r="M113" s="76"/>
    </row>
    <row r="114" spans="1:13" ht="12.75" customHeight="1">
      <c r="A114" s="1215" t="s">
        <v>1947</v>
      </c>
      <c r="B114" s="1220" t="s">
        <v>1861</v>
      </c>
      <c r="C114" s="1244">
        <v>41364</v>
      </c>
      <c r="D114" s="109"/>
      <c r="E114" s="109"/>
      <c r="F114" s="109"/>
      <c r="G114" s="109"/>
      <c r="H114" s="109"/>
      <c r="I114" s="109"/>
      <c r="J114" s="75"/>
      <c r="K114" s="75"/>
      <c r="L114" s="75"/>
      <c r="M114" s="76"/>
    </row>
    <row r="115" spans="1:13" ht="12.75" customHeight="1">
      <c r="A115" s="1215" t="s">
        <v>1948</v>
      </c>
      <c r="B115" s="1220" t="s">
        <v>1832</v>
      </c>
      <c r="C115" s="1231">
        <v>4</v>
      </c>
      <c r="D115" s="109"/>
      <c r="E115" s="109"/>
      <c r="F115" s="109"/>
      <c r="G115" s="109"/>
      <c r="H115" s="109"/>
      <c r="I115" s="109"/>
      <c r="J115" s="75"/>
      <c r="K115" s="75"/>
      <c r="L115" s="75"/>
      <c r="M115" s="76"/>
    </row>
    <row r="116" spans="1:13" ht="12.75" customHeight="1">
      <c r="A116" s="1215" t="s">
        <v>1949</v>
      </c>
      <c r="B116" s="1220" t="s">
        <v>1832</v>
      </c>
      <c r="C116" s="1231">
        <v>4</v>
      </c>
      <c r="D116" s="109"/>
      <c r="E116" s="109"/>
      <c r="F116" s="109"/>
      <c r="G116" s="109"/>
      <c r="H116" s="109"/>
      <c r="I116" s="109"/>
      <c r="J116" s="75"/>
      <c r="K116" s="75"/>
      <c r="L116" s="75"/>
      <c r="M116" s="76"/>
    </row>
    <row r="117" spans="1:13" ht="12.75" customHeight="1">
      <c r="A117" s="1215" t="s">
        <v>1950</v>
      </c>
      <c r="B117" s="1220" t="s">
        <v>1861</v>
      </c>
      <c r="C117" s="1244">
        <v>41517</v>
      </c>
      <c r="D117" s="109"/>
      <c r="E117" s="109"/>
      <c r="F117" s="109"/>
      <c r="G117" s="109"/>
      <c r="H117" s="109"/>
      <c r="I117" s="109"/>
      <c r="J117" s="75"/>
      <c r="K117" s="75"/>
      <c r="L117" s="75"/>
      <c r="M117" s="76"/>
    </row>
    <row r="118" spans="1:13" ht="12.75" customHeight="1">
      <c r="A118" s="1215" t="s">
        <v>1951</v>
      </c>
      <c r="B118" s="1220" t="s">
        <v>1861</v>
      </c>
      <c r="C118" s="1245">
        <v>28</v>
      </c>
      <c r="D118" s="109"/>
      <c r="E118" s="109"/>
      <c r="F118" s="109"/>
      <c r="G118" s="109"/>
      <c r="H118" s="109"/>
      <c r="I118" s="109"/>
      <c r="J118" s="75"/>
      <c r="K118" s="75"/>
      <c r="L118" s="75"/>
      <c r="M118" s="76"/>
    </row>
    <row r="119" spans="1:13" ht="12.75" customHeight="1">
      <c r="A119" s="1215" t="s">
        <v>1952</v>
      </c>
      <c r="B119" s="1220" t="s">
        <v>1861</v>
      </c>
      <c r="C119" s="1247">
        <v>25</v>
      </c>
      <c r="D119" s="109"/>
      <c r="E119" s="109"/>
      <c r="F119" s="109"/>
      <c r="G119" s="109"/>
      <c r="H119" s="109"/>
      <c r="I119" s="109"/>
      <c r="J119" s="75"/>
      <c r="K119" s="75"/>
      <c r="L119" s="75"/>
      <c r="M119" s="76"/>
    </row>
    <row r="120" spans="1:13" ht="12.75" customHeight="1">
      <c r="A120" s="1215" t="s">
        <v>1953</v>
      </c>
      <c r="B120" s="1220" t="s">
        <v>1861</v>
      </c>
      <c r="C120" s="1247">
        <v>41310</v>
      </c>
      <c r="D120" s="109"/>
      <c r="E120" s="109"/>
      <c r="F120" s="109"/>
      <c r="G120" s="109"/>
      <c r="H120" s="109"/>
      <c r="I120" s="109"/>
      <c r="J120" s="75"/>
      <c r="K120" s="75"/>
      <c r="L120" s="75"/>
      <c r="M120" s="76"/>
    </row>
    <row r="121" spans="1:13" ht="12.75" customHeight="1">
      <c r="A121" s="1215" t="s">
        <v>1954</v>
      </c>
      <c r="B121" s="1221" t="s">
        <v>1832</v>
      </c>
      <c r="C121" s="1245">
        <v>4</v>
      </c>
      <c r="D121" s="109"/>
      <c r="E121" s="109"/>
      <c r="F121" s="109"/>
      <c r="G121" s="109"/>
      <c r="H121" s="109"/>
      <c r="I121" s="109"/>
      <c r="J121" s="75"/>
      <c r="K121" s="75"/>
      <c r="L121" s="75"/>
      <c r="M121" s="76"/>
    </row>
    <row r="122" spans="1:13" ht="12.75" customHeight="1">
      <c r="A122" s="1215" t="s">
        <v>1955</v>
      </c>
      <c r="B122" s="1221" t="s">
        <v>1832</v>
      </c>
      <c r="C122" s="1245">
        <v>26</v>
      </c>
      <c r="D122" s="109"/>
      <c r="E122" s="109"/>
      <c r="F122" s="109"/>
      <c r="G122" s="109"/>
      <c r="H122" s="109"/>
      <c r="I122" s="109"/>
      <c r="J122" s="75"/>
      <c r="K122" s="75"/>
      <c r="L122" s="75"/>
      <c r="M122" s="76"/>
    </row>
    <row r="123" spans="1:13" ht="12.75" customHeight="1">
      <c r="A123" s="1215" t="s">
        <v>1956</v>
      </c>
      <c r="B123" s="1221" t="s">
        <v>1832</v>
      </c>
      <c r="C123" s="1245">
        <v>108</v>
      </c>
      <c r="D123" s="109"/>
      <c r="E123" s="109"/>
      <c r="F123" s="109"/>
      <c r="G123" s="109"/>
      <c r="H123" s="109"/>
      <c r="I123" s="109"/>
      <c r="J123" s="75"/>
      <c r="K123" s="75"/>
      <c r="L123" s="75"/>
      <c r="M123" s="76"/>
    </row>
    <row r="124" spans="1:13" ht="12.75" customHeight="1">
      <c r="A124" s="1215" t="s">
        <v>1957</v>
      </c>
      <c r="B124" s="1221" t="s">
        <v>1863</v>
      </c>
      <c r="C124" s="1246">
        <v>1</v>
      </c>
      <c r="D124" s="109"/>
      <c r="E124" s="109"/>
      <c r="F124" s="109"/>
      <c r="G124" s="109"/>
      <c r="H124" s="109"/>
      <c r="I124" s="109"/>
      <c r="J124" s="75"/>
      <c r="K124" s="75"/>
      <c r="L124" s="75"/>
      <c r="M124" s="76"/>
    </row>
    <row r="125" spans="1:13" ht="12.75" customHeight="1">
      <c r="A125" s="1215" t="s">
        <v>1958</v>
      </c>
      <c r="B125" s="1221" t="s">
        <v>1863</v>
      </c>
      <c r="C125" s="1246">
        <v>1</v>
      </c>
      <c r="D125" s="109"/>
      <c r="E125" s="109"/>
      <c r="F125" s="109"/>
      <c r="G125" s="109"/>
      <c r="H125" s="109"/>
      <c r="I125" s="109"/>
      <c r="J125" s="75"/>
      <c r="K125" s="75"/>
      <c r="L125" s="75"/>
      <c r="M125" s="76"/>
    </row>
    <row r="126" spans="1:13" ht="12.75" customHeight="1">
      <c r="A126" s="1215" t="s">
        <v>1959</v>
      </c>
      <c r="B126" s="1221" t="s">
        <v>1832</v>
      </c>
      <c r="C126" s="1245">
        <v>12</v>
      </c>
      <c r="D126" s="109"/>
      <c r="E126" s="109"/>
      <c r="F126" s="109"/>
      <c r="G126" s="109"/>
      <c r="H126" s="109"/>
      <c r="I126" s="109"/>
      <c r="J126" s="75"/>
      <c r="K126" s="75"/>
      <c r="L126" s="75"/>
      <c r="M126" s="76"/>
    </row>
    <row r="127" spans="1:13" ht="12.75" customHeight="1">
      <c r="A127" s="1215" t="s">
        <v>1960</v>
      </c>
      <c r="B127" s="1221" t="s">
        <v>1832</v>
      </c>
      <c r="C127" s="1245">
        <v>12</v>
      </c>
      <c r="D127" s="109"/>
      <c r="E127" s="109"/>
      <c r="F127" s="109"/>
      <c r="G127" s="109"/>
      <c r="H127" s="109"/>
      <c r="I127" s="109"/>
      <c r="J127" s="75"/>
      <c r="K127" s="75"/>
      <c r="L127" s="75"/>
      <c r="M127" s="76"/>
    </row>
    <row r="128" spans="1:13" ht="12.75" customHeight="1">
      <c r="A128" s="1215" t="s">
        <v>1961</v>
      </c>
      <c r="B128" s="1221" t="s">
        <v>1832</v>
      </c>
      <c r="C128" s="1245">
        <v>17</v>
      </c>
      <c r="D128" s="109"/>
      <c r="E128" s="109"/>
      <c r="F128" s="109"/>
      <c r="G128" s="109"/>
      <c r="H128" s="109"/>
      <c r="I128" s="109"/>
      <c r="J128" s="75"/>
      <c r="K128" s="75"/>
      <c r="L128" s="75"/>
      <c r="M128" s="76"/>
    </row>
    <row r="129" spans="1:13" ht="12.75" customHeight="1">
      <c r="A129" s="1215" t="s">
        <v>1962</v>
      </c>
      <c r="B129" s="1221" t="s">
        <v>1861</v>
      </c>
      <c r="C129" s="1247">
        <v>41455</v>
      </c>
      <c r="D129" s="109"/>
      <c r="E129" s="109"/>
      <c r="F129" s="109"/>
      <c r="G129" s="109"/>
      <c r="H129" s="109"/>
      <c r="I129" s="109"/>
      <c r="J129" s="75"/>
      <c r="K129" s="75"/>
      <c r="L129" s="75"/>
      <c r="M129" s="76"/>
    </row>
    <row r="130" spans="1:13" ht="12.75" customHeight="1">
      <c r="A130" s="1215" t="s">
        <v>1963</v>
      </c>
      <c r="B130" s="1221" t="s">
        <v>1832</v>
      </c>
      <c r="C130" s="1245">
        <v>4</v>
      </c>
      <c r="D130" s="109"/>
      <c r="E130" s="109"/>
      <c r="F130" s="109"/>
      <c r="G130" s="109"/>
      <c r="H130" s="109"/>
      <c r="I130" s="109"/>
      <c r="J130" s="75"/>
      <c r="K130" s="75"/>
      <c r="L130" s="75"/>
      <c r="M130" s="76"/>
    </row>
    <row r="131" spans="1:13" ht="12.75" customHeight="1">
      <c r="A131" s="1215" t="s">
        <v>1964</v>
      </c>
      <c r="B131" s="1221" t="s">
        <v>1832</v>
      </c>
      <c r="C131" s="1245">
        <v>4</v>
      </c>
      <c r="D131" s="109"/>
      <c r="E131" s="109"/>
      <c r="F131" s="109"/>
      <c r="G131" s="109"/>
      <c r="H131" s="109"/>
      <c r="I131" s="109"/>
      <c r="J131" s="75"/>
      <c r="K131" s="75"/>
      <c r="L131" s="75"/>
      <c r="M131" s="76"/>
    </row>
    <row r="132" spans="1:13" ht="12.75" customHeight="1">
      <c r="A132" s="1215" t="s">
        <v>1965</v>
      </c>
      <c r="B132" s="1221" t="s">
        <v>1861</v>
      </c>
      <c r="C132" s="1247">
        <v>41455</v>
      </c>
      <c r="D132" s="109"/>
      <c r="E132" s="109"/>
      <c r="F132" s="109"/>
      <c r="G132" s="109"/>
      <c r="H132" s="109"/>
      <c r="I132" s="109"/>
      <c r="J132" s="75"/>
      <c r="K132" s="75"/>
      <c r="L132" s="75"/>
      <c r="M132" s="76"/>
    </row>
    <row r="133" spans="1:13" ht="12.75" customHeight="1">
      <c r="A133" s="1215" t="s">
        <v>1966</v>
      </c>
      <c r="B133" s="1221" t="s">
        <v>1861</v>
      </c>
      <c r="C133" s="1247">
        <v>41455</v>
      </c>
      <c r="D133" s="109"/>
      <c r="E133" s="109"/>
      <c r="F133" s="109"/>
      <c r="G133" s="109"/>
      <c r="H133" s="109"/>
      <c r="I133" s="109"/>
      <c r="J133" s="75"/>
      <c r="K133" s="75"/>
      <c r="L133" s="75"/>
      <c r="M133" s="76"/>
    </row>
    <row r="134" spans="1:13" ht="12.75" customHeight="1">
      <c r="A134" s="1215" t="s">
        <v>1967</v>
      </c>
      <c r="B134" s="1221" t="s">
        <v>1861</v>
      </c>
      <c r="C134" s="1247">
        <v>41455</v>
      </c>
      <c r="D134" s="109"/>
      <c r="E134" s="109"/>
      <c r="F134" s="109"/>
      <c r="G134" s="109"/>
      <c r="H134" s="109"/>
      <c r="I134" s="109"/>
      <c r="J134" s="75"/>
      <c r="K134" s="75"/>
      <c r="L134" s="75"/>
      <c r="M134" s="76"/>
    </row>
    <row r="135" spans="1:13" ht="12.75" customHeight="1">
      <c r="A135" s="1215" t="s">
        <v>1968</v>
      </c>
      <c r="B135" s="1221" t="s">
        <v>1832</v>
      </c>
      <c r="C135" s="1245">
        <v>0</v>
      </c>
      <c r="D135" s="109"/>
      <c r="E135" s="109"/>
      <c r="F135" s="109"/>
      <c r="G135" s="109"/>
      <c r="H135" s="109"/>
      <c r="I135" s="109"/>
      <c r="J135" s="75"/>
      <c r="K135" s="75"/>
      <c r="L135" s="75"/>
      <c r="M135" s="76"/>
    </row>
    <row r="136" spans="1:13" ht="12.75" customHeight="1">
      <c r="A136" s="1215" t="s">
        <v>1969</v>
      </c>
      <c r="B136" s="1221" t="s">
        <v>1970</v>
      </c>
      <c r="C136" s="1245" t="s">
        <v>1990</v>
      </c>
      <c r="D136" s="109"/>
      <c r="E136" s="109"/>
      <c r="F136" s="109"/>
      <c r="G136" s="109"/>
      <c r="H136" s="109"/>
      <c r="I136" s="109"/>
      <c r="J136" s="75"/>
      <c r="K136" s="75"/>
      <c r="L136" s="75"/>
      <c r="M136" s="76"/>
    </row>
    <row r="137" spans="1:13" ht="12.75" customHeight="1">
      <c r="A137" s="1215" t="s">
        <v>1971</v>
      </c>
      <c r="B137" s="1221" t="s">
        <v>1832</v>
      </c>
      <c r="C137" s="1245">
        <v>4</v>
      </c>
      <c r="D137" s="109"/>
      <c r="E137" s="109"/>
      <c r="F137" s="109"/>
      <c r="G137" s="109"/>
      <c r="H137" s="109"/>
      <c r="I137" s="109"/>
      <c r="J137" s="75"/>
      <c r="K137" s="75"/>
      <c r="L137" s="75"/>
      <c r="M137" s="76"/>
    </row>
    <row r="138" spans="1:13" ht="12.75" customHeight="1">
      <c r="A138" s="1218" t="s">
        <v>1972</v>
      </c>
      <c r="B138" s="1224"/>
      <c r="C138" s="1225"/>
      <c r="D138" s="109"/>
      <c r="E138" s="109"/>
      <c r="F138" s="109"/>
      <c r="G138" s="109"/>
      <c r="H138" s="109"/>
      <c r="I138" s="109"/>
      <c r="J138" s="75"/>
      <c r="K138" s="75"/>
      <c r="L138" s="75"/>
      <c r="M138" s="76"/>
    </row>
    <row r="139" spans="1:13" ht="12.75" customHeight="1">
      <c r="A139" s="1223" t="s">
        <v>1973</v>
      </c>
      <c r="B139" s="1220" t="s">
        <v>1832</v>
      </c>
      <c r="C139" s="1229">
        <v>92</v>
      </c>
      <c r="D139" s="109"/>
      <c r="E139" s="109"/>
      <c r="F139" s="109"/>
      <c r="G139" s="109"/>
      <c r="H139" s="109"/>
      <c r="I139" s="109"/>
      <c r="J139" s="75"/>
      <c r="K139" s="75"/>
      <c r="L139" s="75"/>
      <c r="M139" s="76"/>
    </row>
    <row r="140" spans="1:13" ht="12.75" customHeight="1">
      <c r="A140" s="1217" t="s">
        <v>1974</v>
      </c>
      <c r="B140" s="1220" t="s">
        <v>1863</v>
      </c>
      <c r="C140" s="1226">
        <v>6.6000000000000003E-2</v>
      </c>
      <c r="D140" s="109"/>
      <c r="E140" s="109"/>
      <c r="F140" s="109"/>
      <c r="G140" s="109"/>
      <c r="H140" s="109"/>
      <c r="I140" s="109"/>
      <c r="J140" s="75"/>
      <c r="K140" s="75"/>
      <c r="L140" s="75"/>
      <c r="M140" s="76"/>
    </row>
    <row r="141" spans="1:13" ht="12.75" customHeight="1">
      <c r="A141" s="1217" t="s">
        <v>1975</v>
      </c>
      <c r="B141" s="1220" t="s">
        <v>1832</v>
      </c>
      <c r="C141" s="1228">
        <v>33</v>
      </c>
      <c r="D141" s="109"/>
      <c r="E141" s="109"/>
      <c r="F141" s="109"/>
      <c r="G141" s="109"/>
      <c r="H141" s="109"/>
      <c r="I141" s="109"/>
      <c r="J141" s="75"/>
      <c r="K141" s="75"/>
      <c r="L141" s="75"/>
      <c r="M141" s="76"/>
    </row>
    <row r="142" spans="1:13" ht="12.75" customHeight="1">
      <c r="A142" s="1217" t="s">
        <v>1976</v>
      </c>
      <c r="B142" s="1220" t="s">
        <v>1832</v>
      </c>
      <c r="C142" s="1228">
        <v>12</v>
      </c>
      <c r="D142" s="109"/>
      <c r="E142" s="109"/>
      <c r="F142" s="109"/>
      <c r="G142" s="109"/>
      <c r="H142" s="109"/>
      <c r="I142" s="109"/>
      <c r="J142" s="75"/>
      <c r="K142" s="75"/>
      <c r="L142" s="75"/>
      <c r="M142" s="76"/>
    </row>
    <row r="143" spans="1:13" ht="12.75" customHeight="1">
      <c r="A143" s="1217" t="s">
        <v>1977</v>
      </c>
      <c r="B143" s="1220" t="s">
        <v>1832</v>
      </c>
      <c r="C143" s="1228">
        <v>0</v>
      </c>
      <c r="D143" s="109"/>
      <c r="E143" s="109"/>
      <c r="F143" s="109"/>
      <c r="G143" s="109"/>
      <c r="H143" s="109"/>
      <c r="I143" s="109"/>
      <c r="J143" s="75"/>
      <c r="K143" s="75"/>
      <c r="L143" s="75"/>
      <c r="M143" s="76"/>
    </row>
    <row r="144" spans="1:13" ht="12.75" customHeight="1">
      <c r="A144" s="1217" t="s">
        <v>1978</v>
      </c>
      <c r="B144" s="1220" t="s">
        <v>1832</v>
      </c>
      <c r="C144" s="1228">
        <v>22</v>
      </c>
      <c r="D144" s="109"/>
      <c r="E144" s="109"/>
      <c r="F144" s="109"/>
      <c r="G144" s="109"/>
      <c r="H144" s="109"/>
      <c r="I144" s="109"/>
      <c r="J144" s="75"/>
      <c r="K144" s="75"/>
      <c r="L144" s="75"/>
      <c r="M144" s="76"/>
    </row>
    <row r="145" spans="1:13" ht="12.75" customHeight="1">
      <c r="A145" s="1217" t="s">
        <v>1979</v>
      </c>
      <c r="B145" s="1220" t="s">
        <v>1863</v>
      </c>
      <c r="C145" s="1226">
        <v>0.35</v>
      </c>
      <c r="D145" s="109"/>
      <c r="E145" s="109"/>
      <c r="F145" s="109"/>
      <c r="G145" s="109"/>
      <c r="H145" s="109"/>
      <c r="I145" s="109"/>
      <c r="J145" s="75"/>
      <c r="K145" s="75"/>
      <c r="L145" s="75"/>
      <c r="M145" s="76"/>
    </row>
    <row r="146" spans="1:13" ht="12.75" customHeight="1">
      <c r="A146" s="1217" t="s">
        <v>1980</v>
      </c>
      <c r="B146" s="1220" t="s">
        <v>1863</v>
      </c>
      <c r="C146" s="1226">
        <v>0.35</v>
      </c>
      <c r="D146" s="109"/>
      <c r="E146" s="109"/>
      <c r="F146" s="109"/>
      <c r="G146" s="109"/>
      <c r="H146" s="109"/>
      <c r="I146" s="109"/>
      <c r="J146" s="75"/>
      <c r="K146" s="75"/>
      <c r="L146" s="75"/>
      <c r="M146" s="76"/>
    </row>
    <row r="147" spans="1:13" ht="12.75" customHeight="1">
      <c r="A147" s="1217" t="s">
        <v>1981</v>
      </c>
      <c r="B147" s="1220" t="s">
        <v>1863</v>
      </c>
      <c r="C147" s="1226">
        <v>2.1999999999999999E-2</v>
      </c>
      <c r="D147" s="109"/>
      <c r="E147" s="109"/>
      <c r="F147" s="109"/>
      <c r="G147" s="109"/>
      <c r="H147" s="109"/>
      <c r="I147" s="109"/>
      <c r="J147" s="75"/>
      <c r="K147" s="75"/>
      <c r="L147" s="75"/>
      <c r="M147" s="76"/>
    </row>
    <row r="148" spans="1:13" ht="12.75" customHeight="1">
      <c r="A148" s="1217" t="s">
        <v>1982</v>
      </c>
      <c r="B148" s="1220" t="s">
        <v>1832</v>
      </c>
      <c r="C148" s="1228">
        <v>6</v>
      </c>
      <c r="D148" s="109"/>
      <c r="E148" s="109"/>
      <c r="F148" s="109"/>
      <c r="G148" s="109"/>
      <c r="H148" s="109"/>
      <c r="I148" s="109"/>
      <c r="J148" s="75"/>
      <c r="K148" s="75"/>
      <c r="L148" s="75"/>
      <c r="M148" s="76"/>
    </row>
    <row r="149" spans="1:13" ht="12.75" customHeight="1">
      <c r="A149" s="851"/>
      <c r="B149" s="321"/>
      <c r="C149" s="1205"/>
      <c r="D149" s="109"/>
      <c r="E149" s="109"/>
      <c r="F149" s="109"/>
      <c r="G149" s="109"/>
      <c r="H149" s="109"/>
      <c r="I149" s="109"/>
      <c r="J149" s="75"/>
      <c r="K149" s="75"/>
      <c r="L149" s="75"/>
      <c r="M149" s="76"/>
    </row>
    <row r="150" spans="1:13" ht="12.75" customHeight="1">
      <c r="A150" s="849" t="s">
        <v>457</v>
      </c>
      <c r="B150" s="322"/>
      <c r="C150" s="1205"/>
      <c r="D150" s="109"/>
      <c r="E150" s="109"/>
      <c r="F150" s="109"/>
      <c r="G150" s="109"/>
      <c r="H150" s="109"/>
      <c r="I150" s="109"/>
      <c r="J150" s="75"/>
      <c r="K150" s="75"/>
      <c r="L150" s="75"/>
      <c r="M150" s="76"/>
    </row>
    <row r="151" spans="1:13" ht="12.75" customHeight="1">
      <c r="A151" s="850" t="s">
        <v>7</v>
      </c>
      <c r="B151" s="323"/>
      <c r="C151" s="1205"/>
      <c r="D151" s="109"/>
      <c r="E151" s="109"/>
      <c r="F151" s="109"/>
      <c r="G151" s="109"/>
      <c r="H151" s="109"/>
      <c r="I151" s="109"/>
      <c r="J151" s="75"/>
      <c r="K151" s="75"/>
      <c r="L151" s="75"/>
      <c r="M151" s="76"/>
    </row>
    <row r="152" spans="1:13" ht="12.75" customHeight="1">
      <c r="A152" s="851"/>
      <c r="B152" s="322"/>
      <c r="C152" s="1205"/>
      <c r="D152" s="109"/>
      <c r="E152" s="109"/>
      <c r="F152" s="109"/>
      <c r="G152" s="109"/>
      <c r="H152" s="109"/>
      <c r="I152" s="109"/>
      <c r="J152" s="75">
        <f>SUM(E152:I152)</f>
        <v>0</v>
      </c>
      <c r="K152" s="75">
        <f>IF(D152=0,C152+J152,D152+J152)</f>
        <v>0</v>
      </c>
      <c r="L152" s="75">
        <f>IF(E152=0,D152+K152,E152+K152)</f>
        <v>0</v>
      </c>
      <c r="M152" s="76">
        <f>IF(F152=0,E152+L152,F152+L152)</f>
        <v>0</v>
      </c>
    </row>
    <row r="153" spans="1:13" ht="12.75" customHeight="1">
      <c r="A153" s="848" t="s">
        <v>458</v>
      </c>
      <c r="B153" s="321"/>
      <c r="C153" s="1205"/>
      <c r="D153" s="109"/>
      <c r="E153" s="109"/>
      <c r="F153" s="109"/>
      <c r="G153" s="109"/>
      <c r="H153" s="109"/>
      <c r="I153" s="109"/>
      <c r="J153" s="75"/>
      <c r="K153" s="75"/>
      <c r="L153" s="75"/>
      <c r="M153" s="76"/>
    </row>
    <row r="154" spans="1:13" ht="12.75" customHeight="1">
      <c r="A154" s="849" t="s">
        <v>455</v>
      </c>
      <c r="B154" s="322"/>
      <c r="C154" s="1205"/>
      <c r="D154" s="109"/>
      <c r="E154" s="109"/>
      <c r="F154" s="109"/>
      <c r="G154" s="109"/>
      <c r="H154" s="109"/>
      <c r="I154" s="109"/>
      <c r="J154" s="75"/>
      <c r="K154" s="75"/>
      <c r="L154" s="75"/>
      <c r="M154" s="76"/>
    </row>
    <row r="155" spans="1:13" ht="12.75" customHeight="1">
      <c r="A155" s="850" t="s">
        <v>7</v>
      </c>
      <c r="B155" s="322"/>
      <c r="C155" s="1205"/>
      <c r="D155" s="109"/>
      <c r="E155" s="109"/>
      <c r="F155" s="109"/>
      <c r="G155" s="109"/>
      <c r="H155" s="109"/>
      <c r="I155" s="109"/>
      <c r="J155" s="75"/>
      <c r="K155" s="75"/>
      <c r="L155" s="75"/>
      <c r="M155" s="76"/>
    </row>
    <row r="156" spans="1:13" ht="12.75" customHeight="1">
      <c r="A156" s="851"/>
      <c r="B156" s="322"/>
      <c r="C156" s="1205"/>
      <c r="D156" s="109"/>
      <c r="E156" s="109"/>
      <c r="F156" s="109"/>
      <c r="G156" s="109"/>
      <c r="H156" s="109"/>
      <c r="I156" s="109"/>
      <c r="J156" s="75">
        <f>SUM(E156:I156)</f>
        <v>0</v>
      </c>
      <c r="K156" s="75">
        <f>IF(D156=0,C156+J156,D156+J156)</f>
        <v>0</v>
      </c>
      <c r="L156" s="75">
        <f>IF(E156=0,D156+K156,E156+K156)</f>
        <v>0</v>
      </c>
      <c r="M156" s="76">
        <f>IF(F156=0,E156+L156,F156+L156)</f>
        <v>0</v>
      </c>
    </row>
    <row r="157" spans="1:13" ht="12.75" customHeight="1">
      <c r="A157" s="849" t="s">
        <v>456</v>
      </c>
      <c r="B157" s="322"/>
      <c r="C157" s="1205"/>
      <c r="D157" s="109"/>
      <c r="E157" s="109"/>
      <c r="F157" s="109"/>
      <c r="G157" s="109"/>
      <c r="H157" s="109"/>
      <c r="I157" s="109"/>
      <c r="J157" s="75"/>
      <c r="K157" s="75"/>
      <c r="L157" s="75"/>
      <c r="M157" s="76"/>
    </row>
    <row r="158" spans="1:13" ht="12.75" customHeight="1">
      <c r="A158" s="850" t="s">
        <v>7</v>
      </c>
      <c r="B158" s="322"/>
      <c r="C158" s="1205"/>
      <c r="D158" s="109"/>
      <c r="E158" s="109"/>
      <c r="F158" s="109"/>
      <c r="G158" s="109"/>
      <c r="H158" s="109"/>
      <c r="I158" s="109"/>
      <c r="J158" s="75">
        <f>SUM(E158:I158)</f>
        <v>0</v>
      </c>
      <c r="K158" s="75">
        <f>IF(D158=0,C158+J158,D158+J158)</f>
        <v>0</v>
      </c>
      <c r="L158" s="75">
        <f>IF(E158=0,D158+K158,E158+K158)</f>
        <v>0</v>
      </c>
      <c r="M158" s="76">
        <f>IF(F158=0,E158+L158,F158+L158)</f>
        <v>0</v>
      </c>
    </row>
    <row r="159" spans="1:13" ht="12.75" customHeight="1">
      <c r="A159" s="851"/>
      <c r="B159" s="322"/>
      <c r="C159" s="1205"/>
      <c r="D159" s="109"/>
      <c r="E159" s="109"/>
      <c r="F159" s="109"/>
      <c r="G159" s="109"/>
      <c r="H159" s="109"/>
      <c r="I159" s="109"/>
      <c r="J159" s="75"/>
      <c r="K159" s="75"/>
      <c r="L159" s="75"/>
      <c r="M159" s="76"/>
    </row>
    <row r="160" spans="1:13" ht="12.75" customHeight="1">
      <c r="A160" s="849" t="s">
        <v>457</v>
      </c>
      <c r="B160" s="322"/>
      <c r="C160" s="1205"/>
      <c r="D160" s="109"/>
      <c r="E160" s="109"/>
      <c r="F160" s="109"/>
      <c r="G160" s="109"/>
      <c r="H160" s="109"/>
      <c r="I160" s="109"/>
      <c r="J160" s="75">
        <f>SUM(E160:I160)</f>
        <v>0</v>
      </c>
      <c r="K160" s="75">
        <f>IF(D160=0,C160+J160,D160+J160)</f>
        <v>0</v>
      </c>
      <c r="L160" s="75">
        <f>IF(E160=0,D160+K160,E160+K160)</f>
        <v>0</v>
      </c>
      <c r="M160" s="76">
        <f>IF(F160=0,E160+L160,F160+L160)</f>
        <v>0</v>
      </c>
    </row>
    <row r="161" spans="1:13" ht="12.75" customHeight="1">
      <c r="A161" s="850" t="s">
        <v>7</v>
      </c>
      <c r="B161" s="322"/>
      <c r="C161" s="1205"/>
      <c r="D161" s="109"/>
      <c r="E161" s="109"/>
      <c r="F161" s="109"/>
      <c r="G161" s="109"/>
      <c r="H161" s="109"/>
      <c r="I161" s="109"/>
      <c r="J161" s="75"/>
      <c r="K161" s="75"/>
      <c r="L161" s="75"/>
      <c r="M161" s="76"/>
    </row>
    <row r="162" spans="1:13" ht="12.75" customHeight="1">
      <c r="A162" s="852"/>
      <c r="B162" s="322"/>
      <c r="C162" s="1205"/>
      <c r="D162" s="109"/>
      <c r="E162" s="109"/>
      <c r="F162" s="109"/>
      <c r="G162" s="109"/>
      <c r="H162" s="109"/>
      <c r="I162" s="109"/>
      <c r="J162" s="75">
        <f>SUM(E162:I162)</f>
        <v>0</v>
      </c>
      <c r="K162" s="75">
        <f>IF(D162=0,C162+J162,D162+J162)</f>
        <v>0</v>
      </c>
      <c r="L162" s="75">
        <f>IF(E162=0,D162+K162,E162+K162)</f>
        <v>0</v>
      </c>
      <c r="M162" s="76">
        <f>IF(F162=0,E162+L162,F162+L162)</f>
        <v>0</v>
      </c>
    </row>
    <row r="163" spans="1:13" ht="12.75" customHeight="1">
      <c r="A163" s="847" t="s">
        <v>459</v>
      </c>
      <c r="B163" s="322"/>
      <c r="C163" s="1205"/>
      <c r="D163" s="109"/>
      <c r="E163" s="109"/>
      <c r="F163" s="109"/>
      <c r="G163" s="109"/>
      <c r="H163" s="109"/>
      <c r="I163" s="109"/>
      <c r="J163" s="75"/>
      <c r="K163" s="75"/>
      <c r="L163" s="75"/>
      <c r="M163" s="76"/>
    </row>
    <row r="164" spans="1:13" ht="12.75" customHeight="1">
      <c r="A164" s="848" t="s">
        <v>454</v>
      </c>
      <c r="B164" s="322"/>
      <c r="C164" s="1205"/>
      <c r="D164" s="109"/>
      <c r="E164" s="109"/>
      <c r="F164" s="109"/>
      <c r="G164" s="109"/>
      <c r="H164" s="109"/>
      <c r="I164" s="109"/>
      <c r="J164" s="75"/>
      <c r="K164" s="75"/>
      <c r="L164" s="75"/>
      <c r="M164" s="76"/>
    </row>
    <row r="165" spans="1:13" ht="12.75" customHeight="1">
      <c r="A165" s="849" t="s">
        <v>455</v>
      </c>
      <c r="B165" s="322"/>
      <c r="C165" s="1205"/>
      <c r="D165" s="109"/>
      <c r="E165" s="109"/>
      <c r="F165" s="109"/>
      <c r="G165" s="109"/>
      <c r="H165" s="109"/>
      <c r="I165" s="109"/>
      <c r="J165" s="75"/>
      <c r="K165" s="75"/>
      <c r="L165" s="75"/>
      <c r="M165" s="76"/>
    </row>
    <row r="166" spans="1:13" ht="12.75" customHeight="1">
      <c r="A166" s="850" t="s">
        <v>7</v>
      </c>
      <c r="B166" s="322"/>
      <c r="C166" s="1205"/>
      <c r="D166" s="109"/>
      <c r="E166" s="109"/>
      <c r="F166" s="109"/>
      <c r="G166" s="109"/>
      <c r="H166" s="109"/>
      <c r="I166" s="109"/>
      <c r="J166" s="75">
        <f>SUM(E166:I166)</f>
        <v>0</v>
      </c>
      <c r="K166" s="75">
        <f>IF(D166=0,C166+J166,D166+J166)</f>
        <v>0</v>
      </c>
      <c r="L166" s="75">
        <f>IF(E166=0,D166+K166,E166+K166)</f>
        <v>0</v>
      </c>
      <c r="M166" s="76">
        <f>IF(F166=0,E166+L166,F166+L166)</f>
        <v>0</v>
      </c>
    </row>
    <row r="167" spans="1:13" ht="12.75" customHeight="1">
      <c r="A167" s="851"/>
      <c r="B167" s="322"/>
      <c r="C167" s="1205"/>
      <c r="D167" s="109"/>
      <c r="E167" s="109"/>
      <c r="F167" s="109"/>
      <c r="G167" s="109"/>
      <c r="H167" s="109"/>
      <c r="I167" s="109"/>
      <c r="J167" s="75"/>
      <c r="K167" s="75"/>
      <c r="L167" s="75"/>
      <c r="M167" s="76"/>
    </row>
    <row r="168" spans="1:13" ht="12.75" customHeight="1">
      <c r="A168" s="849" t="s">
        <v>456</v>
      </c>
      <c r="B168" s="322"/>
      <c r="C168" s="1205"/>
      <c r="D168" s="109"/>
      <c r="E168" s="109"/>
      <c r="F168" s="109"/>
      <c r="G168" s="109"/>
      <c r="H168" s="109"/>
      <c r="I168" s="109"/>
      <c r="J168" s="75">
        <f>SUM(E168:I168)</f>
        <v>0</v>
      </c>
      <c r="K168" s="75">
        <f>IF(D168=0,C168+J168,D168+J168)</f>
        <v>0</v>
      </c>
      <c r="L168" s="75">
        <f>IF(E168=0,D168+K168,E168+K168)</f>
        <v>0</v>
      </c>
      <c r="M168" s="76">
        <f>IF(F168=0,E168+L168,F168+L168)</f>
        <v>0</v>
      </c>
    </row>
    <row r="169" spans="1:13" ht="12.75" customHeight="1">
      <c r="A169" s="850" t="s">
        <v>7</v>
      </c>
      <c r="B169" s="322"/>
      <c r="C169" s="1205"/>
      <c r="D169" s="109"/>
      <c r="E169" s="109"/>
      <c r="F169" s="109"/>
      <c r="G169" s="109"/>
      <c r="H169" s="109"/>
      <c r="I169" s="109"/>
      <c r="J169" s="75"/>
      <c r="K169" s="75"/>
      <c r="L169" s="75"/>
      <c r="M169" s="76"/>
    </row>
    <row r="170" spans="1:13" ht="12.75" customHeight="1">
      <c r="A170" s="851"/>
      <c r="B170" s="322"/>
      <c r="C170" s="1205"/>
      <c r="D170" s="109"/>
      <c r="E170" s="109"/>
      <c r="F170" s="109"/>
      <c r="G170" s="109"/>
      <c r="H170" s="109"/>
      <c r="I170" s="109"/>
      <c r="J170" s="75">
        <f>SUM(E170:I170)</f>
        <v>0</v>
      </c>
      <c r="K170" s="75">
        <f>IF(D170=0,C170+J170,D170+J170)</f>
        <v>0</v>
      </c>
      <c r="L170" s="75">
        <f>IF(E170=0,D170+K170,E170+K170)</f>
        <v>0</v>
      </c>
      <c r="M170" s="76">
        <f>IF(F170=0,E170+L170,F170+L170)</f>
        <v>0</v>
      </c>
    </row>
    <row r="171" spans="1:13" ht="12.75" customHeight="1">
      <c r="A171" s="849" t="s">
        <v>457</v>
      </c>
      <c r="B171" s="322"/>
      <c r="C171" s="1205"/>
      <c r="D171" s="109"/>
      <c r="E171" s="109"/>
      <c r="F171" s="109"/>
      <c r="G171" s="109"/>
      <c r="H171" s="109"/>
      <c r="I171" s="109"/>
      <c r="J171" s="75"/>
      <c r="K171" s="75"/>
      <c r="L171" s="75"/>
      <c r="M171" s="76"/>
    </row>
    <row r="172" spans="1:13" ht="12.75" customHeight="1">
      <c r="A172" s="850" t="s">
        <v>7</v>
      </c>
      <c r="B172" s="322"/>
      <c r="C172" s="129"/>
      <c r="D172" s="109"/>
      <c r="E172" s="109"/>
      <c r="F172" s="109"/>
      <c r="G172" s="109"/>
      <c r="H172" s="109"/>
      <c r="I172" s="109"/>
      <c r="J172" s="75">
        <f>SUM(E172:I172)</f>
        <v>0</v>
      </c>
      <c r="K172" s="75">
        <f>IF(D172=0,C172+J172,D172+J172)</f>
        <v>0</v>
      </c>
      <c r="L172" s="75">
        <f>IF(E172=0,D172+K172,E172+K172)</f>
        <v>0</v>
      </c>
      <c r="M172" s="76">
        <f>IF(F172=0,E172+L172,F172+L172)</f>
        <v>0</v>
      </c>
    </row>
    <row r="173" spans="1:13" ht="12.75" customHeight="1">
      <c r="A173" s="851"/>
      <c r="B173" s="322"/>
      <c r="C173" s="129"/>
      <c r="D173" s="109"/>
      <c r="E173" s="109"/>
      <c r="F173" s="109"/>
      <c r="G173" s="109"/>
      <c r="H173" s="109"/>
      <c r="I173" s="109"/>
      <c r="J173" s="75"/>
      <c r="K173" s="75"/>
      <c r="L173" s="75"/>
      <c r="M173" s="76"/>
    </row>
    <row r="174" spans="1:13" ht="12.75" customHeight="1">
      <c r="A174" s="848" t="s">
        <v>458</v>
      </c>
      <c r="B174" s="322"/>
      <c r="C174" s="129"/>
      <c r="D174" s="109"/>
      <c r="E174" s="109"/>
      <c r="F174" s="109"/>
      <c r="G174" s="109"/>
      <c r="H174" s="109"/>
      <c r="I174" s="109"/>
      <c r="J174" s="75"/>
      <c r="K174" s="75"/>
      <c r="L174" s="75"/>
      <c r="M174" s="76"/>
    </row>
    <row r="175" spans="1:13" ht="12.75" customHeight="1">
      <c r="A175" s="849" t="s">
        <v>455</v>
      </c>
      <c r="B175" s="322"/>
      <c r="C175" s="129"/>
      <c r="D175" s="109"/>
      <c r="E175" s="109"/>
      <c r="F175" s="109"/>
      <c r="G175" s="109"/>
      <c r="H175" s="109"/>
      <c r="I175" s="109"/>
      <c r="J175" s="75">
        <f>SUM(E175:I175)</f>
        <v>0</v>
      </c>
      <c r="K175" s="75">
        <f>IF(D175=0,C175+J175,D175+J175)</f>
        <v>0</v>
      </c>
      <c r="L175" s="75">
        <f>IF(E175=0,D175+K175,E175+K175)</f>
        <v>0</v>
      </c>
      <c r="M175" s="76">
        <f>IF(F175=0,E175+L175,F175+L175)</f>
        <v>0</v>
      </c>
    </row>
    <row r="176" spans="1:13" ht="12.75" customHeight="1">
      <c r="A176" s="850" t="s">
        <v>7</v>
      </c>
      <c r="B176" s="322"/>
      <c r="C176" s="129"/>
      <c r="D176" s="109"/>
      <c r="E176" s="109"/>
      <c r="F176" s="109"/>
      <c r="G176" s="109"/>
      <c r="H176" s="109"/>
      <c r="I176" s="109"/>
      <c r="J176" s="75"/>
      <c r="K176" s="75"/>
      <c r="L176" s="75"/>
      <c r="M176" s="76"/>
    </row>
    <row r="177" spans="1:13" ht="12.75" customHeight="1">
      <c r="A177" s="851"/>
      <c r="B177" s="322"/>
      <c r="C177" s="129"/>
      <c r="D177" s="109"/>
      <c r="E177" s="109"/>
      <c r="F177" s="109"/>
      <c r="G177" s="109"/>
      <c r="H177" s="109"/>
      <c r="I177" s="109"/>
      <c r="J177" s="75">
        <f>SUM(E177:I177)</f>
        <v>0</v>
      </c>
      <c r="K177" s="75">
        <f>IF(D177=0,C177+J177,D177+J177)</f>
        <v>0</v>
      </c>
      <c r="L177" s="75">
        <f>IF(E177=0,D177+K177,E177+K177)</f>
        <v>0</v>
      </c>
      <c r="M177" s="76">
        <f>IF(F177=0,E177+L177,F177+L177)</f>
        <v>0</v>
      </c>
    </row>
    <row r="178" spans="1:13" ht="12.75" customHeight="1">
      <c r="A178" s="849" t="s">
        <v>456</v>
      </c>
      <c r="B178" s="322"/>
      <c r="C178" s="129"/>
      <c r="D178" s="109"/>
      <c r="E178" s="109"/>
      <c r="F178" s="109"/>
      <c r="G178" s="109"/>
      <c r="H178" s="109"/>
      <c r="I178" s="109"/>
      <c r="J178" s="75"/>
      <c r="K178" s="75"/>
      <c r="L178" s="75"/>
      <c r="M178" s="76"/>
    </row>
    <row r="179" spans="1:13" ht="12.75" customHeight="1">
      <c r="A179" s="850" t="s">
        <v>7</v>
      </c>
      <c r="B179" s="322"/>
      <c r="C179" s="129"/>
      <c r="D179" s="109"/>
      <c r="E179" s="109"/>
      <c r="F179" s="109"/>
      <c r="G179" s="109"/>
      <c r="H179" s="109"/>
      <c r="I179" s="109"/>
      <c r="J179" s="75">
        <f>SUM(E179:I179)</f>
        <v>0</v>
      </c>
      <c r="K179" s="75">
        <f>IF(D179=0,C179+J179,D179+J179)</f>
        <v>0</v>
      </c>
      <c r="L179" s="75">
        <f>IF(E179=0,D179+K179,E179+K179)</f>
        <v>0</v>
      </c>
      <c r="M179" s="76">
        <f>IF(F179=0,E179+L179,F179+L179)</f>
        <v>0</v>
      </c>
    </row>
    <row r="180" spans="1:13" ht="12.75" customHeight="1">
      <c r="A180" s="851"/>
      <c r="B180" s="322"/>
      <c r="C180" s="129"/>
      <c r="D180" s="109"/>
      <c r="E180" s="109"/>
      <c r="F180" s="109"/>
      <c r="G180" s="109"/>
      <c r="H180" s="109"/>
      <c r="I180" s="109"/>
      <c r="J180" s="75"/>
      <c r="K180" s="75"/>
      <c r="L180" s="75"/>
      <c r="M180" s="76"/>
    </row>
    <row r="181" spans="1:13" ht="12.75" customHeight="1">
      <c r="A181" s="849" t="s">
        <v>457</v>
      </c>
      <c r="B181" s="322"/>
      <c r="C181" s="129"/>
      <c r="D181" s="109"/>
      <c r="E181" s="109"/>
      <c r="F181" s="109"/>
      <c r="G181" s="109"/>
      <c r="H181" s="109"/>
      <c r="I181" s="109"/>
      <c r="J181" s="75"/>
      <c r="K181" s="75"/>
      <c r="L181" s="75"/>
      <c r="M181" s="76"/>
    </row>
    <row r="182" spans="1:13" ht="12.75" customHeight="1">
      <c r="A182" s="850" t="s">
        <v>7</v>
      </c>
      <c r="B182" s="322"/>
      <c r="C182" s="129"/>
      <c r="D182" s="109"/>
      <c r="E182" s="109"/>
      <c r="F182" s="109"/>
      <c r="G182" s="109"/>
      <c r="H182" s="109"/>
      <c r="I182" s="109"/>
      <c r="J182" s="75"/>
      <c r="K182" s="75"/>
      <c r="L182" s="75"/>
      <c r="M182" s="76"/>
    </row>
    <row r="183" spans="1:13" ht="12.75" customHeight="1">
      <c r="A183" s="850"/>
      <c r="B183" s="322"/>
      <c r="C183" s="129"/>
      <c r="D183" s="109"/>
      <c r="E183" s="109"/>
      <c r="F183" s="109"/>
      <c r="G183" s="109"/>
      <c r="H183" s="109"/>
      <c r="I183" s="109"/>
      <c r="J183" s="75">
        <f>SUM(E183:I183)</f>
        <v>0</v>
      </c>
      <c r="K183" s="75">
        <f>IF(D183=0,C183+J183,D183+J183)</f>
        <v>0</v>
      </c>
      <c r="L183" s="75">
        <f>IF(E183=0,D183+K183,E183+K183)</f>
        <v>0</v>
      </c>
      <c r="M183" s="76">
        <f>IF(F183=0,E183+L183,F183+L183)</f>
        <v>0</v>
      </c>
    </row>
    <row r="184" spans="1:13" ht="12.75" customHeight="1">
      <c r="A184" s="847" t="s">
        <v>460</v>
      </c>
      <c r="B184" s="322"/>
      <c r="C184" s="129"/>
      <c r="D184" s="109"/>
      <c r="E184" s="109"/>
      <c r="F184" s="109"/>
      <c r="G184" s="109"/>
      <c r="H184" s="109"/>
      <c r="I184" s="109"/>
      <c r="J184" s="75"/>
      <c r="K184" s="75"/>
      <c r="L184" s="75"/>
      <c r="M184" s="76"/>
    </row>
    <row r="185" spans="1:13" ht="12.75" customHeight="1">
      <c r="A185" s="848" t="s">
        <v>454</v>
      </c>
      <c r="B185" s="322"/>
      <c r="C185" s="129"/>
      <c r="D185" s="109"/>
      <c r="E185" s="109"/>
      <c r="F185" s="109"/>
      <c r="G185" s="109"/>
      <c r="H185" s="109"/>
      <c r="I185" s="109"/>
      <c r="J185" s="75">
        <f>SUM(E185:I185)</f>
        <v>0</v>
      </c>
      <c r="K185" s="75">
        <f>IF(D185=0,C185+J185,D185+J185)</f>
        <v>0</v>
      </c>
      <c r="L185" s="75">
        <f>IF(E185=0,D185+K185,E185+K185)</f>
        <v>0</v>
      </c>
      <c r="M185" s="76">
        <f>IF(F185=0,E185+L185,F185+L185)</f>
        <v>0</v>
      </c>
    </row>
    <row r="186" spans="1:13" ht="12.75" customHeight="1">
      <c r="A186" s="849" t="s">
        <v>455</v>
      </c>
      <c r="B186" s="322"/>
      <c r="C186" s="129"/>
      <c r="D186" s="109"/>
      <c r="E186" s="109"/>
      <c r="F186" s="109"/>
      <c r="G186" s="109"/>
      <c r="H186" s="109"/>
      <c r="I186" s="109"/>
      <c r="J186" s="75"/>
      <c r="K186" s="75"/>
      <c r="L186" s="75"/>
      <c r="M186" s="76"/>
    </row>
    <row r="187" spans="1:13" ht="12.75" customHeight="1">
      <c r="A187" s="850" t="s">
        <v>7</v>
      </c>
      <c r="B187" s="323"/>
      <c r="C187" s="129"/>
      <c r="D187" s="109"/>
      <c r="E187" s="109"/>
      <c r="F187" s="109"/>
      <c r="G187" s="109"/>
      <c r="H187" s="109"/>
      <c r="I187" s="109"/>
      <c r="J187" s="75"/>
      <c r="K187" s="75"/>
      <c r="L187" s="75"/>
      <c r="M187" s="76"/>
    </row>
    <row r="188" spans="1:13" ht="12.75" customHeight="1">
      <c r="A188" s="851"/>
      <c r="B188" s="323"/>
      <c r="C188" s="129"/>
      <c r="D188" s="109"/>
      <c r="E188" s="109"/>
      <c r="F188" s="109"/>
      <c r="G188" s="109"/>
      <c r="H188" s="109"/>
      <c r="I188" s="109"/>
      <c r="J188" s="75">
        <f>SUM(E188:I188)</f>
        <v>0</v>
      </c>
      <c r="K188" s="75">
        <f>IF(D188=0,C188+J188,D188+J188)</f>
        <v>0</v>
      </c>
      <c r="L188" s="75">
        <f>IF(E188=0,D188+K188,E188+K188)</f>
        <v>0</v>
      </c>
      <c r="M188" s="76">
        <f>IF(F188=0,E188+L188,F188+L188)</f>
        <v>0</v>
      </c>
    </row>
    <row r="189" spans="1:13" ht="12.75" customHeight="1">
      <c r="A189" s="849" t="s">
        <v>456</v>
      </c>
      <c r="B189" s="323"/>
      <c r="C189" s="129"/>
      <c r="D189" s="109"/>
      <c r="E189" s="109"/>
      <c r="F189" s="109"/>
      <c r="G189" s="109"/>
      <c r="H189" s="109"/>
      <c r="I189" s="109"/>
      <c r="J189" s="75"/>
      <c r="K189" s="75"/>
      <c r="L189" s="75"/>
      <c r="M189" s="76"/>
    </row>
    <row r="190" spans="1:13" ht="12.75" customHeight="1">
      <c r="A190" s="850" t="s">
        <v>7</v>
      </c>
      <c r="B190" s="323"/>
      <c r="C190" s="129"/>
      <c r="D190" s="109"/>
      <c r="E190" s="109"/>
      <c r="F190" s="109"/>
      <c r="G190" s="109"/>
      <c r="H190" s="109"/>
      <c r="I190" s="109"/>
      <c r="J190" s="75">
        <f>SUM(E190:I190)</f>
        <v>0</v>
      </c>
      <c r="K190" s="75">
        <f>IF(D190=0,C190+J190,D190+J190)</f>
        <v>0</v>
      </c>
      <c r="L190" s="75">
        <f>IF(E190=0,D190+K190,E190+K190)</f>
        <v>0</v>
      </c>
      <c r="M190" s="76">
        <f>IF(F190=0,E190+L190,F190+L190)</f>
        <v>0</v>
      </c>
    </row>
    <row r="191" spans="1:13" ht="12.75" customHeight="1">
      <c r="A191" s="851"/>
      <c r="B191" s="323"/>
      <c r="C191" s="129"/>
      <c r="D191" s="109"/>
      <c r="E191" s="109"/>
      <c r="F191" s="109"/>
      <c r="G191" s="109"/>
      <c r="H191" s="109"/>
      <c r="I191" s="109"/>
      <c r="J191" s="75"/>
      <c r="K191" s="75"/>
      <c r="L191" s="75"/>
      <c r="M191" s="76"/>
    </row>
    <row r="192" spans="1:13" ht="12.75" customHeight="1">
      <c r="A192" s="849" t="s">
        <v>457</v>
      </c>
      <c r="B192" s="323"/>
      <c r="C192" s="129"/>
      <c r="D192" s="109"/>
      <c r="E192" s="109"/>
      <c r="F192" s="109"/>
      <c r="G192" s="109"/>
      <c r="H192" s="109"/>
      <c r="I192" s="109"/>
      <c r="J192" s="75">
        <f>SUM(E192:I192)</f>
        <v>0</v>
      </c>
      <c r="K192" s="75">
        <f>IF(D192=0,C192+J192,D192+J192)</f>
        <v>0</v>
      </c>
      <c r="L192" s="75">
        <f>IF(E192=0,D192+K192,E192+K192)</f>
        <v>0</v>
      </c>
      <c r="M192" s="76">
        <f>IF(F192=0,E192+L192,F192+L192)</f>
        <v>0</v>
      </c>
    </row>
    <row r="193" spans="1:13" ht="12.75" customHeight="1">
      <c r="A193" s="850" t="s">
        <v>7</v>
      </c>
      <c r="B193" s="971"/>
      <c r="C193" s="129"/>
      <c r="D193" s="109"/>
      <c r="E193" s="109"/>
      <c r="F193" s="109"/>
      <c r="G193" s="109"/>
      <c r="H193" s="109"/>
      <c r="I193" s="109"/>
      <c r="J193" s="75"/>
      <c r="K193" s="75"/>
      <c r="L193" s="75"/>
      <c r="M193" s="76"/>
    </row>
    <row r="194" spans="1:13" ht="12.75" customHeight="1">
      <c r="A194" s="851"/>
      <c r="B194" s="323"/>
      <c r="C194" s="129"/>
      <c r="D194" s="109"/>
      <c r="E194" s="109"/>
      <c r="F194" s="109"/>
      <c r="G194" s="109"/>
      <c r="H194" s="109"/>
      <c r="I194" s="109"/>
      <c r="J194" s="75"/>
      <c r="K194" s="75"/>
      <c r="L194" s="75"/>
      <c r="M194" s="76"/>
    </row>
    <row r="195" spans="1:13" ht="12.75" customHeight="1">
      <c r="A195" s="848" t="s">
        <v>458</v>
      </c>
      <c r="B195" s="323"/>
      <c r="C195" s="129"/>
      <c r="D195" s="109"/>
      <c r="E195" s="109"/>
      <c r="F195" s="109"/>
      <c r="G195" s="109"/>
      <c r="H195" s="109"/>
      <c r="I195" s="109"/>
      <c r="J195" s="75">
        <f>SUM(E195:I195)</f>
        <v>0</v>
      </c>
      <c r="K195" s="75">
        <f>IF(D195=0,C195+J195,D195+J195)</f>
        <v>0</v>
      </c>
      <c r="L195" s="75">
        <f>IF(E195=0,D195+K195,E195+K195)</f>
        <v>0</v>
      </c>
      <c r="M195" s="76">
        <f>IF(F195=0,E195+L195,F195+L195)</f>
        <v>0</v>
      </c>
    </row>
    <row r="196" spans="1:13" ht="12.75" customHeight="1">
      <c r="A196" s="849" t="s">
        <v>455</v>
      </c>
      <c r="B196" s="323"/>
      <c r="C196" s="129"/>
      <c r="D196" s="109"/>
      <c r="E196" s="109"/>
      <c r="F196" s="109"/>
      <c r="G196" s="109"/>
      <c r="H196" s="109"/>
      <c r="I196" s="109"/>
      <c r="J196" s="75"/>
      <c r="K196" s="75"/>
      <c r="L196" s="75"/>
      <c r="M196" s="76"/>
    </row>
    <row r="197" spans="1:13" ht="12.75" customHeight="1">
      <c r="A197" s="850" t="s">
        <v>7</v>
      </c>
      <c r="B197" s="323"/>
      <c r="C197" s="129"/>
      <c r="D197" s="109"/>
      <c r="E197" s="109"/>
      <c r="F197" s="109"/>
      <c r="G197" s="109"/>
      <c r="H197" s="109"/>
      <c r="I197" s="109"/>
      <c r="J197" s="75">
        <f>SUM(E197:I197)</f>
        <v>0</v>
      </c>
      <c r="K197" s="75">
        <f>IF(D197=0,C197+J197,D197+J197)</f>
        <v>0</v>
      </c>
      <c r="L197" s="75">
        <f>IF(E197=0,D197+K197,E197+K197)</f>
        <v>0</v>
      </c>
      <c r="M197" s="76">
        <f>IF(F197=0,E197+L197,F197+L197)</f>
        <v>0</v>
      </c>
    </row>
    <row r="198" spans="1:13" ht="12.75" customHeight="1">
      <c r="A198" s="851"/>
      <c r="B198" s="323"/>
      <c r="C198" s="129"/>
      <c r="D198" s="109"/>
      <c r="E198" s="109"/>
      <c r="F198" s="109"/>
      <c r="G198" s="109"/>
      <c r="H198" s="109"/>
      <c r="I198" s="109"/>
      <c r="J198" s="75"/>
      <c r="K198" s="75"/>
      <c r="L198" s="75"/>
      <c r="M198" s="76"/>
    </row>
    <row r="199" spans="1:13" ht="12.75" customHeight="1">
      <c r="A199" s="849" t="s">
        <v>456</v>
      </c>
      <c r="B199" s="323"/>
      <c r="C199" s="129"/>
      <c r="D199" s="109"/>
      <c r="E199" s="109"/>
      <c r="F199" s="109"/>
      <c r="G199" s="109"/>
      <c r="H199" s="109"/>
      <c r="I199" s="109"/>
      <c r="J199" s="75">
        <f>SUM(E199:I199)</f>
        <v>0</v>
      </c>
      <c r="K199" s="75">
        <f>IF(D199=0,C199+J199,D199+J199)</f>
        <v>0</v>
      </c>
      <c r="L199" s="75">
        <f>IF(E199=0,D199+K199,E199+K199)</f>
        <v>0</v>
      </c>
      <c r="M199" s="76">
        <f>IF(F199=0,E199+L199,F199+L199)</f>
        <v>0</v>
      </c>
    </row>
    <row r="200" spans="1:13" ht="12.75" customHeight="1">
      <c r="A200" s="850" t="s">
        <v>7</v>
      </c>
      <c r="B200" s="323"/>
      <c r="C200" s="129"/>
      <c r="D200" s="109"/>
      <c r="E200" s="109"/>
      <c r="F200" s="109"/>
      <c r="G200" s="109"/>
      <c r="H200" s="109"/>
      <c r="I200" s="109"/>
      <c r="J200" s="75"/>
      <c r="K200" s="75"/>
      <c r="L200" s="75"/>
      <c r="M200" s="76"/>
    </row>
    <row r="201" spans="1:13" ht="12.75" customHeight="1">
      <c r="A201" s="851"/>
      <c r="B201" s="323"/>
      <c r="C201" s="129"/>
      <c r="D201" s="109"/>
      <c r="E201" s="109"/>
      <c r="F201" s="109"/>
      <c r="G201" s="109"/>
      <c r="H201" s="109"/>
      <c r="I201" s="109"/>
      <c r="J201" s="75">
        <f>SUM(E201:I201)</f>
        <v>0</v>
      </c>
      <c r="K201" s="75">
        <f>IF(D201=0,C201+J201,D201+J201)</f>
        <v>0</v>
      </c>
      <c r="L201" s="75">
        <f>IF(E201=0,D201+K201,E201+K201)</f>
        <v>0</v>
      </c>
      <c r="M201" s="76">
        <f>IF(F201=0,E201+L201,F201+L201)</f>
        <v>0</v>
      </c>
    </row>
    <row r="202" spans="1:13" ht="12.75" customHeight="1">
      <c r="A202" s="849" t="s">
        <v>457</v>
      </c>
      <c r="B202" s="323"/>
      <c r="C202" s="129"/>
      <c r="D202" s="109"/>
      <c r="E202" s="109"/>
      <c r="F202" s="109"/>
      <c r="G202" s="109"/>
      <c r="H202" s="109"/>
      <c r="I202" s="109"/>
      <c r="J202" s="75"/>
      <c r="K202" s="75"/>
      <c r="L202" s="75"/>
      <c r="M202" s="76"/>
    </row>
    <row r="203" spans="1:13" ht="12.75" customHeight="1">
      <c r="A203" s="850" t="s">
        <v>7</v>
      </c>
      <c r="B203" s="323"/>
      <c r="C203" s="129"/>
      <c r="D203" s="109"/>
      <c r="E203" s="109"/>
      <c r="F203" s="109"/>
      <c r="G203" s="109"/>
      <c r="H203" s="109"/>
      <c r="I203" s="109"/>
      <c r="J203" s="75">
        <f>SUM(E203:I203)</f>
        <v>0</v>
      </c>
      <c r="K203" s="75">
        <f>IF(D203=0,C203+J203,D203+J203)</f>
        <v>0</v>
      </c>
      <c r="L203" s="75">
        <f>IF(E203=0,D203+K203,E203+K203)</f>
        <v>0</v>
      </c>
      <c r="M203" s="76">
        <f>IF(F203=0,E203+L203,F203+L203)</f>
        <v>0</v>
      </c>
    </row>
    <row r="204" spans="1:13" ht="12.75" customHeight="1">
      <c r="A204" s="850"/>
      <c r="B204" s="323"/>
      <c r="C204" s="129"/>
      <c r="D204" s="109"/>
      <c r="E204" s="109"/>
      <c r="F204" s="109"/>
      <c r="G204" s="109"/>
      <c r="H204" s="109"/>
      <c r="I204" s="109"/>
      <c r="J204" s="75"/>
      <c r="K204" s="75"/>
      <c r="L204" s="75"/>
      <c r="M204" s="76"/>
    </row>
    <row r="205" spans="1:13" ht="12.75" customHeight="1">
      <c r="A205" s="853" t="s">
        <v>461</v>
      </c>
      <c r="B205" s="854"/>
      <c r="C205" s="324"/>
      <c r="D205" s="317"/>
      <c r="E205" s="317"/>
      <c r="F205" s="317"/>
      <c r="G205" s="317"/>
      <c r="H205" s="317"/>
      <c r="I205" s="317"/>
      <c r="J205" s="177">
        <f>SUM(E205:I205)</f>
        <v>0</v>
      </c>
      <c r="K205" s="177">
        <f>IF(D205=0,C205+J205,D205+J205)</f>
        <v>0</v>
      </c>
      <c r="L205" s="177">
        <f>IF(E205=0,D205+K205,E205+K205)</f>
        <v>0</v>
      </c>
      <c r="M205" s="178">
        <f>IF(F205=0,E205+L205,F205+L205)</f>
        <v>0</v>
      </c>
    </row>
    <row r="206" spans="1:13" ht="12.75" customHeight="1">
      <c r="A206" s="157" t="str">
        <f>head27a</f>
        <v>References</v>
      </c>
      <c r="B206" s="98"/>
      <c r="C206" s="179"/>
      <c r="D206" s="179"/>
      <c r="E206" s="179"/>
      <c r="F206" s="179"/>
      <c r="G206" s="179"/>
      <c r="H206" s="179"/>
      <c r="I206" s="179"/>
      <c r="J206" s="179"/>
      <c r="K206" s="179"/>
      <c r="L206" s="179"/>
      <c r="M206" s="179"/>
    </row>
    <row r="207" spans="1:13" ht="12.75" customHeight="1">
      <c r="A207" s="1318" t="s">
        <v>15</v>
      </c>
      <c r="B207" s="1318"/>
      <c r="C207" s="1318"/>
      <c r="D207" s="1318"/>
      <c r="E207" s="1318"/>
      <c r="F207" s="1318"/>
      <c r="G207" s="1318"/>
      <c r="H207" s="1318"/>
      <c r="I207" s="1318"/>
      <c r="J207" s="1318"/>
      <c r="K207" s="1318"/>
      <c r="L207" s="1318"/>
      <c r="M207" s="1318"/>
    </row>
    <row r="208" spans="1:13" ht="12.75" customHeight="1">
      <c r="A208" s="99" t="s">
        <v>16</v>
      </c>
      <c r="B208" s="98"/>
      <c r="C208" s="325"/>
      <c r="D208" s="325"/>
      <c r="E208" s="325"/>
      <c r="F208" s="325"/>
      <c r="G208" s="325"/>
      <c r="H208" s="325"/>
      <c r="I208" s="325"/>
      <c r="J208" s="325"/>
      <c r="K208" s="325"/>
      <c r="L208" s="325"/>
      <c r="M208" s="325"/>
    </row>
    <row r="209" spans="1:13" ht="12.75" customHeight="1">
      <c r="A209" s="99" t="s">
        <v>462</v>
      </c>
      <c r="B209" s="98"/>
      <c r="C209" s="325"/>
      <c r="D209" s="325"/>
      <c r="E209" s="325"/>
      <c r="F209" s="325"/>
      <c r="G209" s="325"/>
      <c r="H209" s="325"/>
      <c r="I209" s="325"/>
      <c r="J209" s="325"/>
      <c r="K209" s="325"/>
      <c r="L209" s="325"/>
      <c r="M209" s="325"/>
    </row>
    <row r="210" spans="1:13" ht="12.75" customHeight="1">
      <c r="A210" s="99" t="s">
        <v>17</v>
      </c>
      <c r="B210" s="93"/>
      <c r="C210" s="96"/>
      <c r="D210" s="96"/>
      <c r="E210" s="96"/>
      <c r="F210" s="96"/>
      <c r="G210" s="96"/>
      <c r="H210" s="96"/>
      <c r="I210" s="96"/>
      <c r="J210" s="96"/>
      <c r="K210" s="96"/>
      <c r="L210" s="96"/>
      <c r="M210" s="96"/>
    </row>
    <row r="211" spans="1:13" ht="12.75" customHeight="1">
      <c r="A211" s="1318" t="s">
        <v>18</v>
      </c>
      <c r="B211" s="1318"/>
      <c r="C211" s="1318"/>
      <c r="D211" s="1318"/>
      <c r="E211" s="1318"/>
      <c r="F211" s="1318"/>
      <c r="G211" s="1318"/>
      <c r="H211" s="1318"/>
      <c r="I211" s="1318"/>
      <c r="J211" s="1318"/>
      <c r="K211" s="1318"/>
      <c r="L211" s="1318"/>
      <c r="M211" s="1318"/>
    </row>
    <row r="212" spans="1:13" ht="12.75" customHeight="1">
      <c r="A212" s="1357" t="s">
        <v>19</v>
      </c>
      <c r="B212" s="1318"/>
      <c r="C212" s="1318"/>
      <c r="D212" s="1318"/>
      <c r="E212" s="1318"/>
      <c r="F212" s="1318"/>
      <c r="G212" s="1318"/>
      <c r="H212" s="1318"/>
      <c r="I212" s="1318"/>
      <c r="J212" s="1318"/>
      <c r="K212" s="1318"/>
      <c r="L212" s="1318"/>
      <c r="M212" s="1318"/>
    </row>
  </sheetData>
  <mergeCells count="6">
    <mergeCell ref="A212:M212"/>
    <mergeCell ref="A207:M207"/>
    <mergeCell ref="A2:A4"/>
    <mergeCell ref="B2:B4"/>
    <mergeCell ref="C2:K2"/>
    <mergeCell ref="A211:M211"/>
  </mergeCells>
  <phoneticPr fontId="17"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sheetPr codeName="Sheet94" enableFormatConditionsCalculation="0">
    <tabColor indexed="42"/>
    <pageSetUpPr fitToPage="1"/>
  </sheetPr>
  <dimension ref="A1:L62"/>
  <sheetViews>
    <sheetView showGridLines="0" workbookViewId="0">
      <pane xSplit="1" ySplit="3" topLeftCell="B34" activePane="bottomRight" state="frozen"/>
      <selection activeCell="M17" sqref="M17:M63"/>
      <selection pane="topRight" activeCell="M17" sqref="M17:M63"/>
      <selection pane="bottomLeft" activeCell="M17" sqref="M17:M63"/>
      <selection pane="bottomRight" activeCell="C35" sqref="C35:E35"/>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LIM333 Greater Tzaneen - Supporting Table SB4 Consolidated Adjustments to budgeted performance indicators and benchmarks - 26 FEBRUARY 2014</v>
      </c>
      <c r="C1" s="58"/>
    </row>
    <row r="2" spans="1:10" ht="38.25">
      <c r="A2" s="1327" t="str">
        <f>desc&amp;" of financial indicator"</f>
        <v>Description of financial indicator</v>
      </c>
      <c r="B2" s="1322" t="s">
        <v>20</v>
      </c>
      <c r="C2" s="326" t="str">
        <f>Head1B</f>
        <v>2010/11</v>
      </c>
      <c r="D2" s="327" t="str">
        <f>Head1A</f>
        <v>2011/12</v>
      </c>
      <c r="E2" s="327" t="str">
        <f>Head1</f>
        <v>2012/13</v>
      </c>
      <c r="F2" s="1354" t="str">
        <f>Head2</f>
        <v>Budget Year 2013/14</v>
      </c>
      <c r="G2" s="1320"/>
      <c r="H2" s="1321"/>
      <c r="I2" s="169" t="str">
        <f>Head10</f>
        <v>Budget Year +1 2014/15</v>
      </c>
      <c r="J2" s="170" t="str">
        <f>Head11</f>
        <v>Budget Year +2 2015/16</v>
      </c>
    </row>
    <row r="3" spans="1:10" ht="25.5">
      <c r="A3" s="1358"/>
      <c r="B3" s="1331"/>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c r="A4" s="331" t="s">
        <v>21</v>
      </c>
      <c r="B4" s="332"/>
      <c r="C4" s="242"/>
      <c r="D4" s="1110"/>
      <c r="E4" s="1109"/>
      <c r="F4" s="243"/>
      <c r="G4" s="243"/>
      <c r="H4" s="243"/>
      <c r="I4" s="333"/>
      <c r="J4" s="245"/>
    </row>
    <row r="5" spans="1:10" ht="3" customHeight="1">
      <c r="A5" s="334"/>
      <c r="B5" s="332"/>
      <c r="C5" s="127"/>
      <c r="D5" s="1108"/>
      <c r="E5" s="335"/>
      <c r="F5" s="336"/>
      <c r="G5" s="336"/>
      <c r="H5" s="336"/>
      <c r="I5" s="337"/>
      <c r="J5" s="338"/>
    </row>
    <row r="6" spans="1:10" ht="24" customHeight="1">
      <c r="A6" s="334" t="s">
        <v>22</v>
      </c>
      <c r="B6" s="332" t="s">
        <v>23</v>
      </c>
      <c r="C6" s="339"/>
      <c r="D6" s="335"/>
      <c r="E6" s="335"/>
      <c r="F6" s="335"/>
      <c r="G6" s="335"/>
      <c r="H6" s="335"/>
      <c r="I6" s="340"/>
      <c r="J6" s="341"/>
    </row>
    <row r="7" spans="1:10" ht="24" customHeight="1">
      <c r="A7" s="334" t="s">
        <v>24</v>
      </c>
      <c r="B7" s="332" t="s">
        <v>25</v>
      </c>
      <c r="C7" s="339">
        <v>1.4999999999999999E-2</v>
      </c>
      <c r="D7" s="335">
        <v>2.3E-2</v>
      </c>
      <c r="E7" s="335">
        <v>5.0999999999999997E-2</v>
      </c>
      <c r="F7" s="336">
        <f>IF(ISERROR(('B4-FinPerf RE'!C31-'B7-CFlow'!C35)/'B4-FinPerf RE'!C38),0,(('B4-FinPerf RE'!C31-'B7-CFlow'!C35)/'B4-FinPerf RE'!C38))</f>
        <v>2.8170332417653727E-2</v>
      </c>
      <c r="G7" s="336">
        <f>IF(ISERROR(('B4-FinPerf RE'!D31-'B7-CFlow'!D35)/'B4-FinPerf RE'!D38),0,(('B4-FinPerf RE'!D31-'B7-CFlow'!D35)/'B4-FinPerf RE'!D38))</f>
        <v>0</v>
      </c>
      <c r="H7" s="336">
        <f>IF(ISERROR(('B4-FinPerf RE'!K31-'B7-CFlow'!K35)/'B4-FinPerf RE'!K38),0,(('B4-FinPerf RE'!K31-'B7-CFlow'!K35)/'B4-FinPerf RE'!K38))</f>
        <v>2.7530098165732885E-2</v>
      </c>
      <c r="I7" s="337">
        <f>IF(ISERROR(('B4-FinPerf RE'!L31-'B7-CFlow'!L35)/'B4-FinPerf RE'!L38),0,(('B4-FinPerf RE'!L31-'B7-CFlow'!L35)/'B4-FinPerf RE'!L38))</f>
        <v>2.8404172535101045E-2</v>
      </c>
      <c r="J7" s="338">
        <f>IF(ISERROR(('B4-FinPerf RE'!M31-'B7-CFlow'!M35)/'B4-FinPerf RE'!M38),0,(('B4-FinPerf RE'!M31-'B7-CFlow'!M35)/'B4-FinPerf RE'!M38))</f>
        <v>2.8652171521180755E-2</v>
      </c>
    </row>
    <row r="8" spans="1:10" ht="24" customHeight="1">
      <c r="A8" s="334" t="s">
        <v>1268</v>
      </c>
      <c r="B8" s="332" t="s">
        <v>1269</v>
      </c>
      <c r="C8" s="339">
        <v>1.4239999999999999</v>
      </c>
      <c r="D8" s="335">
        <v>0.45300000000000001</v>
      </c>
      <c r="E8" s="335">
        <v>0</v>
      </c>
      <c r="F8" s="336">
        <f>IF(ISERROR('B5-Capex'!C74/('B5-Capex'!C65-'B5-Capex'!C72)),0,('B5-Capex'!C74/('B5-Capex'!C65-'B5-Capex'!C72)))</f>
        <v>0</v>
      </c>
      <c r="G8" s="336">
        <f>IF(ISERROR('B5-Capex'!D74/('B5-Capex'!D65-'B5-Capex'!D72)),0,('B5-Capex'!D74/('B5-Capex'!D65-'B5-Capex'!D72)))</f>
        <v>0</v>
      </c>
      <c r="H8" s="336">
        <f>IF(ISERROR('B5-Capex'!K74/('B5-Capex'!K65-'B5-Capex'!L72)),0,('B5-Capex'!K74/('B5-Capex'!K65-'B5-Capex'!L72)))</f>
        <v>0</v>
      </c>
      <c r="I8" s="337">
        <f>IF(ISERROR('B5-Capex'!L74/('B5-Capex'!L65-'B5-Capex'!M72)),0,('B5-Capex'!L74/('B5-Capex'!L65-'B5-Capex'!M72)))</f>
        <v>0</v>
      </c>
      <c r="J8" s="338">
        <f>IF(ISERROR('B5-Capex'!M74/('B5-Capex'!M65-'B5-Capex'!N72)),0,('B5-Capex'!M74/('B5-Capex'!M65-'B5-Capex'!N72)))</f>
        <v>0</v>
      </c>
    </row>
    <row r="9" spans="1:10">
      <c r="A9" s="331" t="s">
        <v>27</v>
      </c>
      <c r="B9" s="332"/>
      <c r="C9" s="339"/>
      <c r="D9" s="335"/>
      <c r="E9" s="335"/>
      <c r="F9" s="336"/>
      <c r="G9" s="336"/>
      <c r="H9" s="336"/>
      <c r="I9" s="337"/>
      <c r="J9" s="338"/>
    </row>
    <row r="10" spans="1:10" ht="5.25" customHeight="1">
      <c r="A10" s="334"/>
      <c r="B10" s="332"/>
      <c r="C10" s="339"/>
      <c r="D10" s="335"/>
      <c r="E10" s="335"/>
      <c r="F10" s="336"/>
      <c r="G10" s="336"/>
      <c r="H10" s="336"/>
      <c r="I10" s="337"/>
      <c r="J10" s="338"/>
    </row>
    <row r="11" spans="1:10" ht="24.75" customHeight="1">
      <c r="A11" s="334" t="s">
        <v>28</v>
      </c>
      <c r="B11" s="332" t="s">
        <v>29</v>
      </c>
      <c r="C11" s="339">
        <v>0</v>
      </c>
      <c r="D11" s="335">
        <v>0</v>
      </c>
      <c r="E11" s="335">
        <v>0</v>
      </c>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c r="A12" s="331" t="s">
        <v>30</v>
      </c>
      <c r="B12" s="332"/>
      <c r="C12" s="339"/>
      <c r="D12" s="335"/>
      <c r="E12" s="335"/>
      <c r="F12" s="336"/>
      <c r="G12" s="336"/>
      <c r="H12" s="336"/>
      <c r="I12" s="337"/>
      <c r="J12" s="338"/>
    </row>
    <row r="13" spans="1:10">
      <c r="A13" s="334" t="s">
        <v>31</v>
      </c>
      <c r="B13" s="332" t="s">
        <v>32</v>
      </c>
      <c r="C13" s="339">
        <v>1.2</v>
      </c>
      <c r="D13" s="339">
        <v>1.2</v>
      </c>
      <c r="E13" s="335">
        <v>1.5</v>
      </c>
      <c r="F13" s="336">
        <f>IF(ISERROR('B6-FinPos'!C14/'B6-FinPos'!C36),0,('B6-FinPos'!C14/'B6-FinPos'!C36))</f>
        <v>1.0242762791919766</v>
      </c>
      <c r="G13" s="336">
        <f>IF(ISERROR('B6-FinPos'!D14/'B6-FinPos'!D36),0,('B6-FinPos'!D14/'B6-FinPos'!D36))</f>
        <v>0</v>
      </c>
      <c r="H13" s="336">
        <f>IF(ISERROR('B6-FinPos'!K14/'B6-FinPos'!K36),0,('B6-FinPos'!K14/'B6-FinPos'!K36))</f>
        <v>0.84972914564361279</v>
      </c>
      <c r="I13" s="337">
        <f>IF(ISERROR('B6-FinPos'!L14/'B6-FinPos'!L36),0,('B6-FinPos'!L14/'B6-FinPos'!L36))</f>
        <v>0.8199801359978226</v>
      </c>
      <c r="J13" s="338">
        <f>IF(ISERROR('B6-FinPos'!M14/'B6-FinPos'!M36),0,('B6-FinPos'!M14/'B6-FinPos'!M36))</f>
        <v>0.79774256915482211</v>
      </c>
    </row>
    <row r="14" spans="1:10" ht="25.5">
      <c r="A14" s="334" t="s">
        <v>33</v>
      </c>
      <c r="B14" s="332" t="s">
        <v>1270</v>
      </c>
      <c r="C14" s="339">
        <v>1.2</v>
      </c>
      <c r="D14" s="339">
        <v>1.2</v>
      </c>
      <c r="E14" s="335">
        <v>1.5</v>
      </c>
      <c r="F14" s="336">
        <f>IF(ISERROR(('B6-FinPos'!C26-'SB4'!F41)/'B6-FinPos'!C36),0,(('B6-FinPos'!C26-'SB4'!F41)/'B6-FinPos'!C36))</f>
        <v>11.554752428777544</v>
      </c>
      <c r="G14" s="336">
        <f>IF(ISERROR(('B6-FinPos'!D26-'SB4'!G41)/'B6-FinPos'!D36),0,(('B6-FinPos'!D26-'SB4'!G41)/'B6-FinPos'!D36))</f>
        <v>0</v>
      </c>
      <c r="H14" s="336">
        <f>IF(ISERROR(('B6-FinPos'!E26-'SB4'!H41)/'B6-FinPos'!E36),0,(('B6-FinPos'!E26-'SB4'!H41)/'B6-FinPos'!E36))</f>
        <v>0</v>
      </c>
      <c r="I14" s="336">
        <f>IF(ISERROR(('B6-FinPos'!F26-'SB4'!I41)/'B6-FinPos'!F36),0,(('B6-FinPos'!F26-'SB4'!I41)/'B6-FinPos'!F36))</f>
        <v>0</v>
      </c>
      <c r="J14" s="336">
        <f>IF(ISERROR(('B6-FinPos'!G26-'SB4'!J41)/'B6-FinPos'!G36),0,(('B6-FinPos'!G26-'SB4'!J41)/'B6-FinPos'!G36))</f>
        <v>0</v>
      </c>
    </row>
    <row r="15" spans="1:10">
      <c r="A15" s="334" t="s">
        <v>34</v>
      </c>
      <c r="B15" s="332" t="s">
        <v>35</v>
      </c>
      <c r="C15" s="339">
        <v>0.2</v>
      </c>
      <c r="D15" s="335">
        <v>0.3</v>
      </c>
      <c r="E15" s="335">
        <v>0.1</v>
      </c>
      <c r="F15" s="926">
        <f>IF(ISERROR(('B6-FinPos'!C8+'B6-FinPos'!C9)/'B6-FinPos'!C36),0,(('B6-FinPos'!C8+'B6-FinPos'!C9)/'B6-FinPos'!C36))</f>
        <v>7.1431173596700884E-2</v>
      </c>
      <c r="G15" s="926">
        <f>IF(ISERROR(('B6-FinPos'!D8+'B6-FinPos'!D9)/'B6-FinPos'!D36),0,(('B6-FinPos'!D8+'B6-FinPos'!D9)/'B6-FinPos'!D36))</f>
        <v>0</v>
      </c>
      <c r="H15" s="926">
        <f>IF(ISERROR(('B6-FinPos'!K8+'B6-FinPos'!K9)/'B6-FinPos'!K36),0,(('B6-FinPos'!K8+'B6-FinPos'!K9)/'B6-FinPos'!K36))</f>
        <v>0</v>
      </c>
      <c r="I15" s="927">
        <f>IF(ISERROR(('B6-FinPos'!L8+'B6-FinPos'!L9)/'B6-FinPos'!L36),0,(('B6-FinPos'!L8+'B6-FinPos'!L9)/'B6-FinPos'!L36))</f>
        <v>0</v>
      </c>
      <c r="J15" s="928">
        <f>IF(ISERROR(('B6-FinPos'!M8+'B6-FinPos'!M9)/'B6-FinPos'!M36),0,(('B6-FinPos'!M8+'B6-FinPos'!M9)/'B6-FinPos'!M36))</f>
        <v>4.4774511880090384E-3</v>
      </c>
    </row>
    <row r="16" spans="1:10">
      <c r="A16" s="331" t="s">
        <v>36</v>
      </c>
      <c r="B16" s="332"/>
      <c r="C16" s="339"/>
      <c r="D16" s="335"/>
      <c r="E16" s="335"/>
      <c r="F16" s="336"/>
      <c r="G16" s="336"/>
      <c r="H16" s="336"/>
      <c r="I16" s="337"/>
      <c r="J16" s="338"/>
    </row>
    <row r="17" spans="1:10" ht="24.75" customHeight="1">
      <c r="A17" s="334" t="s">
        <v>37</v>
      </c>
      <c r="B17" s="332" t="s">
        <v>38</v>
      </c>
      <c r="C17" s="339"/>
      <c r="D17" s="335">
        <v>0.95199999999999996</v>
      </c>
      <c r="E17" s="335">
        <v>0.94099999999999995</v>
      </c>
      <c r="F17" s="335"/>
      <c r="G17" s="335"/>
      <c r="H17" s="335"/>
      <c r="I17" s="342"/>
      <c r="J17" s="343"/>
    </row>
    <row r="18" spans="1:10" ht="24.75" customHeight="1">
      <c r="A18" s="334" t="s">
        <v>39</v>
      </c>
      <c r="B18" s="332" t="s">
        <v>40</v>
      </c>
      <c r="C18" s="339">
        <v>0.26300000000000001</v>
      </c>
      <c r="D18" s="335">
        <v>0.253</v>
      </c>
      <c r="E18" s="335">
        <v>0.374</v>
      </c>
      <c r="F18" s="336">
        <f>IF(ISERROR((SUM('B6-FinPos'!C10:C12)+'B6-FinPos'!C17)/'B4-FinPerf RE'!C24),0,((SUM('B6-FinPos'!C10:C12)+'B6-FinPos'!C17)/'B4-FinPerf RE'!C24))</f>
        <v>0.19761743502348716</v>
      </c>
      <c r="G18" s="336">
        <f>IF(ISERROR((SUM('B6-FinPos'!D10:D12)+'B6-FinPos'!D17)/'B4-FinPerf RE'!D24),0,((SUM('B6-FinPos'!D10:D12)+'B6-FinPos'!D17)/'B4-FinPerf RE'!D24))</f>
        <v>0</v>
      </c>
      <c r="H18" s="336">
        <f>IF(ISERROR((SUM('B6-FinPos'!K10:K12)+'B6-FinPos'!K17)/'B4-FinPerf RE'!K24),0,((SUM('B6-FinPos'!K10:K12)+'B6-FinPos'!K17)/'B4-FinPerf RE'!K24))</f>
        <v>0.18815816364764457</v>
      </c>
      <c r="I18" s="337">
        <f>IF(ISERROR((SUM('B6-FinPos'!L10:L12)+'B6-FinPos'!L17)/'B4-FinPerf RE'!L24),0,((SUM('B6-FinPos'!L10:L12)+'B6-FinPos'!L17)/'B4-FinPerf RE'!L24))</f>
        <v>0.18019364352114289</v>
      </c>
      <c r="J18" s="338">
        <f>IF(ISERROR((SUM('B6-FinPos'!M10:M12)+'B6-FinPos'!M17)/'B4-FinPerf RE'!M24),0,((SUM('B6-FinPos'!M10:M12)+'B6-FinPos'!M17)/'B4-FinPerf RE'!M24))</f>
        <v>0.16187089794281379</v>
      </c>
    </row>
    <row r="19" spans="1:10" ht="25.5">
      <c r="A19" s="334" t="s">
        <v>41</v>
      </c>
      <c r="B19" s="332" t="s">
        <v>42</v>
      </c>
      <c r="C19" s="339"/>
      <c r="D19" s="335"/>
      <c r="E19" s="335"/>
      <c r="F19" s="336">
        <f>IF(ISERROR(F42/'B6-FinPos'!C17),0,(F42/'B6-FinPos'!C17))</f>
        <v>0</v>
      </c>
      <c r="G19" s="336">
        <f>IF(ISERROR(G42/'B6-FinPos'!D17),0,(G42/'B6-FinPos'!D17))</f>
        <v>0</v>
      </c>
      <c r="H19" s="336">
        <f>IF(ISERROR(H42/'B6-FinPos'!K17),0,(H42/'B6-FinPos'!K17))</f>
        <v>0</v>
      </c>
      <c r="I19" s="337">
        <f>IF(ISERROR(I42/'B6-FinPos'!L17),0,(I42/'B6-FinPos'!L17))</f>
        <v>0</v>
      </c>
      <c r="J19" s="338">
        <f>IF(ISERROR(J42/'B6-FinPos'!M17),0,(J42/'B6-FinPos'!M17))</f>
        <v>0</v>
      </c>
    </row>
    <row r="20" spans="1:10">
      <c r="A20" s="331" t="s">
        <v>43</v>
      </c>
      <c r="B20" s="332"/>
      <c r="C20" s="339"/>
      <c r="D20" s="335"/>
      <c r="E20" s="335"/>
      <c r="F20" s="336"/>
      <c r="G20" s="336"/>
      <c r="H20" s="336"/>
      <c r="I20" s="337"/>
      <c r="J20" s="338"/>
    </row>
    <row r="21" spans="1:10" ht="25.5">
      <c r="A21" s="334" t="s">
        <v>44</v>
      </c>
      <c r="B21" s="332" t="s">
        <v>45</v>
      </c>
      <c r="C21" s="339">
        <v>0.95</v>
      </c>
      <c r="D21" s="335">
        <v>0.95</v>
      </c>
      <c r="E21" s="335">
        <v>0.95</v>
      </c>
      <c r="F21" s="335">
        <v>0.95</v>
      </c>
      <c r="G21" s="335">
        <v>0.95</v>
      </c>
      <c r="H21" s="335">
        <v>0.95</v>
      </c>
      <c r="I21" s="335">
        <v>0.95</v>
      </c>
      <c r="J21" s="335">
        <v>0.95</v>
      </c>
    </row>
    <row r="22" spans="1:10">
      <c r="A22" s="334" t="s">
        <v>1582</v>
      </c>
      <c r="B22" s="332"/>
      <c r="C22" s="339">
        <v>3.649</v>
      </c>
      <c r="D22" s="335">
        <v>1.8240000000000001</v>
      </c>
      <c r="E22" s="335">
        <v>11.417</v>
      </c>
      <c r="F22" s="336">
        <f>IF(ISERROR('SB2'!C35/'B7-CFlow'!C40), 0, ('SB2'!C35/'B7-CFlow'!C40))</f>
        <v>11.279376630430423</v>
      </c>
      <c r="G22" s="336">
        <f>IF(ISERROR('SB2'!D35/'B7-CFlow'!D40), 0, ('SB2'!D35/'B7-CFlow'!D40))</f>
        <v>0</v>
      </c>
      <c r="H22" s="336">
        <f>IF(ISERROR('SB2'!K35/'B7-CFlow'!K40), 0, ('SB2'!K35/'B7-CFlow'!K40))</f>
        <v>346731.93506493507</v>
      </c>
      <c r="I22" s="336">
        <f>IF(ISERROR('SB2'!L35/'B7-CFlow'!L40), 0, ('SB2'!L35/'B7-CFlow'!L40))</f>
        <v>-656569.36127909017</v>
      </c>
      <c r="J22" s="338">
        <f>IF(ISERROR('SB2'!M35/'B7-CFlow'!M40), 0, ('SB2'!M35/'B7-CFlow'!M40))</f>
        <v>183.29120671855242</v>
      </c>
    </row>
    <row r="23" spans="1:10" ht="5.25" customHeight="1">
      <c r="A23" s="334"/>
      <c r="B23" s="332"/>
      <c r="C23" s="339"/>
      <c r="D23" s="335"/>
      <c r="E23" s="335"/>
      <c r="F23" s="335"/>
      <c r="G23" s="335"/>
      <c r="H23" s="335"/>
      <c r="I23" s="342"/>
      <c r="J23" s="343"/>
    </row>
    <row r="24" spans="1:10">
      <c r="A24" s="331" t="s">
        <v>46</v>
      </c>
      <c r="B24" s="332"/>
      <c r="C24" s="339"/>
      <c r="D24" s="335"/>
      <c r="E24" s="335"/>
      <c r="F24" s="336"/>
      <c r="G24" s="336"/>
      <c r="H24" s="336"/>
      <c r="I24" s="337"/>
      <c r="J24" s="338"/>
    </row>
    <row r="25" spans="1:10" ht="18.75" customHeight="1">
      <c r="A25" s="1359" t="s">
        <v>47</v>
      </c>
      <c r="B25" s="709" t="s">
        <v>1625</v>
      </c>
      <c r="C25" s="1126"/>
      <c r="D25" s="1127"/>
      <c r="E25" s="1127">
        <v>0.17</v>
      </c>
      <c r="F25" s="1127">
        <v>0.12</v>
      </c>
      <c r="G25" s="1127">
        <v>0.12</v>
      </c>
      <c r="H25" s="1127">
        <v>0.12</v>
      </c>
      <c r="I25" s="1128">
        <v>0.12</v>
      </c>
      <c r="J25" s="343">
        <v>0.12</v>
      </c>
    </row>
    <row r="26" spans="1:10" ht="18.75" customHeight="1">
      <c r="A26" s="1359"/>
      <c r="B26" s="709" t="s">
        <v>1626</v>
      </c>
      <c r="C26" s="763"/>
      <c r="D26" s="762"/>
      <c r="E26" s="762"/>
      <c r="F26" s="762"/>
      <c r="G26" s="762"/>
      <c r="H26" s="762"/>
      <c r="I26" s="762"/>
      <c r="J26" s="1125"/>
    </row>
    <row r="27" spans="1:10" ht="18.75" customHeight="1">
      <c r="A27" s="1359" t="s">
        <v>48</v>
      </c>
      <c r="B27" s="709" t="s">
        <v>1627</v>
      </c>
      <c r="C27" s="1126"/>
      <c r="D27" s="1127"/>
      <c r="E27" s="1127"/>
      <c r="F27" s="1127"/>
      <c r="G27" s="1127"/>
      <c r="H27" s="1127"/>
      <c r="I27" s="1128"/>
      <c r="J27" s="343"/>
    </row>
    <row r="28" spans="1:10" ht="18.75" customHeight="1">
      <c r="A28" s="1359"/>
      <c r="B28" s="709" t="s">
        <v>1626</v>
      </c>
      <c r="C28" s="763"/>
      <c r="D28" s="762"/>
      <c r="E28" s="762"/>
      <c r="F28" s="762"/>
      <c r="G28" s="762"/>
      <c r="H28" s="762"/>
      <c r="I28" s="762"/>
      <c r="J28" s="1125"/>
    </row>
    <row r="29" spans="1:10" ht="25.5">
      <c r="A29" s="334" t="s">
        <v>598</v>
      </c>
      <c r="B29" s="332" t="s">
        <v>49</v>
      </c>
      <c r="C29" s="339">
        <v>0.184</v>
      </c>
      <c r="D29" s="335">
        <v>0.155</v>
      </c>
      <c r="E29" s="335">
        <v>0.186</v>
      </c>
      <c r="F29" s="336">
        <f>IF(ISERROR('B4-FinPerf RE'!C27/'B4-FinPerf RE'!C24),0,('B4-FinPerf RE'!C27/'B4-FinPerf RE'!C24))</f>
        <v>0.17097040452232246</v>
      </c>
      <c r="G29" s="336">
        <f>IF(ISERROR('B4-FinPerf RE'!D27/'B4-FinPerf RE'!D24),0,('B4-FinPerf RE'!D27/'B4-FinPerf RE'!D24))</f>
        <v>0</v>
      </c>
      <c r="H29" s="336">
        <f>IF(ISERROR('B4-FinPerf RE'!K27/'B4-FinPerf RE'!K24),0,('B4-FinPerf RE'!K27/'B4-FinPerf RE'!K24))</f>
        <v>0.16654331267587488</v>
      </c>
      <c r="I29" s="336">
        <f>IF(ISERROR('B4-FinPerf RE'!L27/'B4-FinPerf RE'!L24),0,('B4-FinPerf RE'!L27/'B4-FinPerf RE'!L24))</f>
        <v>0.1707461358340068</v>
      </c>
      <c r="J29" s="338">
        <f>IF(ISERROR('B4-FinPerf RE'!M27/'B4-FinPerf RE'!M24),0,('B4-FinPerf RE'!M27/'B4-FinPerf RE'!M24))</f>
        <v>0.16313129903233448</v>
      </c>
    </row>
    <row r="30" spans="1:10" ht="25.5">
      <c r="A30" s="334" t="s">
        <v>50</v>
      </c>
      <c r="B30" s="332" t="s">
        <v>51</v>
      </c>
      <c r="C30" s="339">
        <v>0.20300000000000001</v>
      </c>
      <c r="D30" s="335">
        <v>0.14399999999999999</v>
      </c>
      <c r="E30" s="335">
        <v>0.13400000000000001</v>
      </c>
      <c r="F30" s="336">
        <f>IF(ISERROR('B9-Asset'!C71/'B4-FinPerf RE'!C24),0,('B9-Asset'!C71/'B4-FinPerf RE'!C24))</f>
        <v>0.12988986035351507</v>
      </c>
      <c r="G30" s="336">
        <f>IF(ISERROR('B9-Asset'!D71/'B4-FinPerf RE'!D24),0,('B9-Asset'!D71/'B4-FinPerf RE'!D24))</f>
        <v>0</v>
      </c>
      <c r="H30" s="336">
        <f>IF(ISERROR('B9-Asset'!K71/'B4-FinPerf RE'!K24),0,('B9-Asset'!K71/'B4-FinPerf RE'!K24))</f>
        <v>0.12367247655887079</v>
      </c>
      <c r="I30" s="336">
        <f>IF(ISERROR('B9-Asset'!L71/'B4-FinPerf RE'!L24),0,('B9-Asset'!L71/'B4-FinPerf RE'!L24))</f>
        <v>0.12629492997079131</v>
      </c>
      <c r="J30" s="338">
        <f>IF(ISERROR('B9-Asset'!M71/'B4-FinPerf RE'!M24),0,('B9-Asset'!M71/'B4-FinPerf RE'!M24))</f>
        <v>0.12057281720270015</v>
      </c>
    </row>
    <row r="31" spans="1:10" ht="25.5">
      <c r="A31" s="334" t="s">
        <v>52</v>
      </c>
      <c r="B31" s="332" t="s">
        <v>53</v>
      </c>
      <c r="C31" s="339">
        <v>0.21</v>
      </c>
      <c r="D31" s="335">
        <v>0.33300000000000002</v>
      </c>
      <c r="E31" s="335">
        <v>0.14599999999999999</v>
      </c>
      <c r="F31" s="336">
        <f>IF(ISERROR(('B4-FinPerf RE'!C30+'B4-FinPerf RE'!C31)/'B4-FinPerf RE'!C24),0,(('B4-FinPerf RE'!C30+'B4-FinPerf RE'!C31)/'B4-FinPerf RE'!C24))</f>
        <v>0.15856852561850393</v>
      </c>
      <c r="G31" s="336">
        <f>IF(ISERROR(('B4-FinPerf RE'!D30+'B4-FinPerf RE'!D31)/'B4-FinPerf RE'!D24),0,(('B4-FinPerf RE'!D30+'B4-FinPerf RE'!D31)/'B4-FinPerf RE'!D24))</f>
        <v>0</v>
      </c>
      <c r="H31" s="336">
        <f>IF(ISERROR(('B4-FinPerf RE'!K30+'B4-FinPerf RE'!K31)/'B4-FinPerf RE'!K24),0,(('B4-FinPerf RE'!K30+'B4-FinPerf RE'!K31)/'B4-FinPerf RE'!K24))</f>
        <v>0.15097839210971506</v>
      </c>
      <c r="I31" s="337">
        <f>IF(ISERROR(('B4-FinPerf RE'!L30+'B4-FinPerf RE'!L31)/'B4-FinPerf RE'!L24),0,(('B4-FinPerf RE'!L30+'B4-FinPerf RE'!L31)/'B4-FinPerf RE'!L24))</f>
        <v>0.16768818977005781</v>
      </c>
      <c r="J31" s="338">
        <f>IF(ISERROR(('B4-FinPerf RE'!M30+'B4-FinPerf RE'!M31)/'B4-FinPerf RE'!M24),0,(('B4-FinPerf RE'!M30+'B4-FinPerf RE'!M31)/'B4-FinPerf RE'!M24))</f>
        <v>0.16249721040043924</v>
      </c>
    </row>
    <row r="32" spans="1:10">
      <c r="A32" s="331" t="s">
        <v>54</v>
      </c>
      <c r="B32" s="332"/>
      <c r="C32" s="339"/>
      <c r="D32" s="335"/>
      <c r="E32" s="335"/>
      <c r="F32" s="336"/>
      <c r="G32" s="336"/>
      <c r="H32" s="336"/>
      <c r="I32" s="337"/>
      <c r="J32" s="338"/>
    </row>
    <row r="33" spans="1:12" ht="39.75" customHeight="1">
      <c r="A33" s="334" t="s">
        <v>55</v>
      </c>
      <c r="B33" s="332" t="s">
        <v>56</v>
      </c>
      <c r="C33" s="344">
        <v>14.8</v>
      </c>
      <c r="D33" s="335">
        <v>16.899999999999999</v>
      </c>
      <c r="E33" s="335">
        <v>15.8</v>
      </c>
      <c r="F33" s="336">
        <f>IF(ISERROR(('B4-FinPerf RE'!C24-'B4-FinPerf RE'!C21)/('B4-FinPerf RE'!L31-'B7-CFlow'!L35)),0,(('B4-FinPerf RE'!C24-'B4-FinPerf RE'!C21)/('B4-FinPerf RE'!L31-'B7-CFlow'!L35)))</f>
        <v>22.308662041356015</v>
      </c>
      <c r="G33" s="336">
        <f>IF(ISERROR(('B4-FinPerf RE'!D24-'B4-FinPerf RE'!D21)/('B4-FinPerf RE'!L31-'B7-CFlow'!L35)),0,(('B4-FinPerf RE'!D24-'B4-FinPerf RE'!D21)/('B4-FinPerf RE'!L31-'B7-CFlow'!L35)))</f>
        <v>0</v>
      </c>
      <c r="H33" s="336">
        <f>IF(ISERROR(('B4-FinPerf RE'!K24-'B4-FinPerf RE'!K21)/('B4-FinPerf RE'!L31-'B7-CFlow'!L35)),0,(('B4-FinPerf RE'!K24-'B4-FinPerf RE'!K21)/('B4-FinPerf RE'!L31-'B7-CFlow'!L35)))</f>
        <v>23.933785983036351</v>
      </c>
      <c r="I33" s="337">
        <f>IF(ISERROR(('B4-FinPerf RE'!L24-'B4-FinPerf RE'!L21)/('B4-FinPerf RE'!M31-'B7-CFlow'!M35)),0,(('B4-FinPerf RE'!L24-'B4-FinPerf RE'!L21)/('B4-FinPerf RE'!M31-'B7-CFlow'!M35)))</f>
        <v>22.344958961750113</v>
      </c>
      <c r="J33" s="338">
        <f>IF(ISERROR(('B4-FinPerf RE'!M24-'B4-FinPerf RE'!M21)/('B4-FinPerf RE'!M31-'B7-CFlow'!M35)),0,(('B4-FinPerf RE'!M24-'B4-FinPerf RE'!M21)/('B4-FinPerf RE'!M31-'B7-CFlow'!M35)))</f>
        <v>23.447046736026415</v>
      </c>
    </row>
    <row r="34" spans="1:12" ht="38.25">
      <c r="A34" s="334" t="s">
        <v>57</v>
      </c>
      <c r="B34" s="332" t="s">
        <v>58</v>
      </c>
      <c r="C34" s="344">
        <v>0.41599999999999998</v>
      </c>
      <c r="D34" s="335">
        <v>0.41099999999999998</v>
      </c>
      <c r="E34" s="335">
        <v>0.60799999999999998</v>
      </c>
      <c r="F34" s="336">
        <f>IF(ISERROR('B6-FinPos'!C10/'B4-FinPerf RE'!C24),0,('B6-FinPos'!C10/'B4-FinPerf RE'!C24))</f>
        <v>6.4562750919897327E-2</v>
      </c>
      <c r="G34" s="336">
        <f>IF(ISERROR('B6-FinPos'!D10/'B4-FinPerf RE'!D24),0,('B6-FinPos'!D10/'B4-FinPerf RE'!D24))</f>
        <v>0</v>
      </c>
      <c r="H34" s="336">
        <f>IF(ISERROR('B6-FinPos'!K10/'B4-FinPerf RE'!K24),0,('B6-FinPos'!K10/'B4-FinPerf RE'!K24))</f>
        <v>6.1472352637733325E-2</v>
      </c>
      <c r="I34" s="337">
        <f>IF(ISERROR('B6-FinPos'!L10/'B4-FinPerf RE'!L24),0,('B6-FinPos'!L10/'B4-FinPerf RE'!L24))</f>
        <v>5.8048224555134809E-2</v>
      </c>
      <c r="J34" s="338">
        <f>IF(ISERROR('B6-FinPos'!M10/'B4-FinPerf RE'!M24),0,('B6-FinPos'!M10/'B4-FinPerf RE'!M24))</f>
        <v>5.1772962868705599E-2</v>
      </c>
    </row>
    <row r="35" spans="1:12" ht="38.25">
      <c r="A35" s="334" t="s">
        <v>59</v>
      </c>
      <c r="B35" s="332" t="s">
        <v>60</v>
      </c>
      <c r="C35" s="344">
        <v>0.6</v>
      </c>
      <c r="D35" s="335">
        <v>1.3</v>
      </c>
      <c r="E35" s="335">
        <v>0.2</v>
      </c>
      <c r="F35" s="926">
        <f>IF(ISERROR('B7-CFlow'!C40/'SB4'!F43),0,('B7-CFlow'!C40/'SB4'!F43))</f>
        <v>2.0595517641498629E-2</v>
      </c>
      <c r="G35" s="926">
        <f>IF(ISERROR('B7-CFlow'!D40/'SB4'!G43),0,('B7-CFlow'!D40/'SB4'!G43))</f>
        <v>0</v>
      </c>
      <c r="H35" s="926">
        <f>IF(ISERROR('B7-CFlow'!K40/'SB4'!H43),0,('B7-CFlow'!K40/'SB4'!H43))</f>
        <v>7.5275079727926564E-7</v>
      </c>
      <c r="I35" s="927">
        <f>IF(ISERROR('B7-CFlow'!L40/'SB4'!I43),0,('B7-CFlow'!L40/'SB4'!I43))</f>
        <v>-3.918474045774625E-7</v>
      </c>
      <c r="J35" s="928">
        <f>IF(ISERROR('B7-CFlow'!M40/'SB4'!J43),0,('B7-CFlow'!M40/'SB4'!J43))</f>
        <v>1.3702249251803984E-3</v>
      </c>
    </row>
    <row r="36" spans="1:12" ht="5.0999999999999996" customHeight="1">
      <c r="A36" s="345"/>
      <c r="B36" s="88"/>
      <c r="C36" s="346"/>
      <c r="D36" s="347"/>
      <c r="E36" s="347"/>
      <c r="F36" s="44"/>
      <c r="G36" s="44"/>
      <c r="H36" s="44"/>
      <c r="I36" s="45"/>
      <c r="J36" s="46"/>
    </row>
    <row r="37" spans="1:12">
      <c r="A37" s="157" t="str">
        <f>head27a</f>
        <v>References</v>
      </c>
      <c r="B37" s="48"/>
      <c r="C37" s="48"/>
      <c r="D37" s="48"/>
      <c r="E37" s="48"/>
      <c r="F37" s="48"/>
      <c r="G37" s="48"/>
      <c r="H37" s="48"/>
      <c r="I37" s="48"/>
      <c r="J37" s="48"/>
    </row>
    <row r="38" spans="1:12">
      <c r="A38" s="99" t="s">
        <v>61</v>
      </c>
      <c r="B38" s="48"/>
      <c r="C38" s="48"/>
      <c r="D38" s="48"/>
      <c r="E38" s="48"/>
      <c r="F38" s="48"/>
      <c r="G38" s="48"/>
      <c r="H38" s="48"/>
      <c r="I38" s="48"/>
      <c r="J38" s="48"/>
    </row>
    <row r="39" spans="1:12">
      <c r="A39" s="288" t="s">
        <v>1624</v>
      </c>
      <c r="B39" s="48"/>
      <c r="C39" s="48"/>
      <c r="D39" s="48"/>
      <c r="E39" s="48"/>
      <c r="F39" s="48"/>
      <c r="G39" s="48"/>
      <c r="H39" s="48"/>
      <c r="I39" s="48"/>
      <c r="J39" s="48"/>
    </row>
    <row r="40" spans="1:12">
      <c r="A40" s="348" t="s">
        <v>62</v>
      </c>
      <c r="B40" s="349"/>
      <c r="C40" s="349"/>
      <c r="D40" s="349"/>
      <c r="E40" s="349"/>
      <c r="F40" s="349"/>
      <c r="G40" s="349"/>
      <c r="H40" s="349"/>
      <c r="I40" s="349"/>
      <c r="J40" s="349"/>
    </row>
    <row r="41" spans="1:12">
      <c r="A41" s="349" t="s">
        <v>63</v>
      </c>
      <c r="B41" s="349"/>
      <c r="C41" s="86"/>
      <c r="D41" s="86"/>
      <c r="E41" s="86"/>
      <c r="F41" s="230"/>
      <c r="G41" s="230"/>
      <c r="H41" s="230"/>
      <c r="I41" s="230"/>
      <c r="J41" s="230"/>
      <c r="K41" s="48"/>
      <c r="L41" s="48"/>
    </row>
    <row r="42" spans="1:12">
      <c r="A42" s="349" t="s">
        <v>64</v>
      </c>
      <c r="B42" s="349"/>
      <c r="C42" s="230"/>
      <c r="D42" s="230"/>
      <c r="E42" s="230"/>
      <c r="F42" s="230"/>
      <c r="G42" s="230"/>
      <c r="H42" s="230"/>
      <c r="I42" s="230"/>
      <c r="J42" s="230"/>
      <c r="K42" s="48"/>
      <c r="L42" s="48"/>
    </row>
    <row r="43" spans="1:12">
      <c r="A43" s="349" t="s">
        <v>65</v>
      </c>
      <c r="B43" s="349"/>
      <c r="C43" s="86"/>
      <c r="D43" s="86"/>
      <c r="E43" s="86"/>
      <c r="F43" s="86">
        <f>(('B4-FinPerf RE'!C27+'B4-FinPerf RE'!C28+'B4-FinPerf RE'!C29+'B4-FinPerf RE'!C31+'B4-FinPerf RE'!C32+'B4-FinPerf RE'!C34+'B4-FinPerf RE'!C35)+(('B4-FinPerf RE'!C33+'B4-FinPerf RE'!C36)*'SB4'!F44))</f>
        <v>599304334.79999995</v>
      </c>
      <c r="G43" s="86">
        <f>(('B4-FinPerf RE'!D27+'B4-FinPerf RE'!D28+'B4-FinPerf RE'!D29+'B4-FinPerf RE'!D31+'B4-FinPerf RE'!D32+'B4-FinPerf RE'!D34+'B4-FinPerf RE'!D35)+(('B4-FinPerf RE'!D33+'B4-FinPerf RE'!D36)*'SB4'!G44))</f>
        <v>0</v>
      </c>
      <c r="H43" s="86">
        <f>(('B4-FinPerf RE'!K27+'B4-FinPerf RE'!K28+'B4-FinPerf RE'!K29+'B4-FinPerf RE'!K31+'B4-FinPerf RE'!K32+'B4-FinPerf RE'!K34+'B4-FinPerf RE'!K35)+(('B4-FinPerf RE'!K33+'B4-FinPerf RE'!K36)*'SB4'!H44))</f>
        <v>613748934.79999995</v>
      </c>
      <c r="I43" s="86">
        <f>(('B4-FinPerf RE'!L27+'B4-FinPerf RE'!L28+'B4-FinPerf RE'!L29+'B4-FinPerf RE'!L31+'B4-FinPerf RE'!L32+'B4-FinPerf RE'!L34+'B4-FinPerf RE'!L35)+(('B4-FinPerf RE'!L33+'B4-FinPerf RE'!L36)*'SB4'!I44))</f>
        <v>636446731.74399996</v>
      </c>
      <c r="J43" s="86">
        <f>(('B4-FinPerf RE'!M27+'B4-FinPerf RE'!M28+'B4-FinPerf RE'!M29+'B4-FinPerf RE'!M31+'B4-FinPerf RE'!M32+'B4-FinPerf RE'!M34+'B4-FinPerf RE'!M35)+(('B4-FinPerf RE'!M33+'B4-FinPerf RE'!M36)*'SB4'!J44))</f>
        <v>666534569.04510009</v>
      </c>
      <c r="K43" s="48"/>
      <c r="L43" s="48"/>
    </row>
    <row r="44" spans="1:12">
      <c r="A44" s="349" t="s">
        <v>66</v>
      </c>
      <c r="B44" s="349"/>
      <c r="E44" s="86"/>
      <c r="F44" s="825">
        <v>0.6</v>
      </c>
      <c r="G44" s="350">
        <f>$F$44</f>
        <v>0.6</v>
      </c>
      <c r="H44" s="350">
        <f>$F$44</f>
        <v>0.6</v>
      </c>
      <c r="I44" s="350">
        <f>$F$44</f>
        <v>0.6</v>
      </c>
      <c r="J44" s="350">
        <f>$F$44</f>
        <v>0.6</v>
      </c>
      <c r="K44" s="349" t="s">
        <v>1341</v>
      </c>
      <c r="L44" s="48"/>
    </row>
    <row r="45" spans="1:12">
      <c r="A45" s="349"/>
      <c r="B45" s="349"/>
      <c r="C45" s="86"/>
      <c r="D45" s="86"/>
      <c r="E45" s="86"/>
      <c r="F45" s="86"/>
      <c r="G45" s="86"/>
      <c r="H45" s="86"/>
      <c r="I45" s="86"/>
      <c r="J45" s="86"/>
      <c r="K45" s="48"/>
      <c r="L45" s="48"/>
    </row>
    <row r="46" spans="1:12" ht="13.5">
      <c r="A46" s="349"/>
      <c r="B46" s="349"/>
      <c r="C46" s="86"/>
      <c r="D46" s="86"/>
      <c r="E46" s="86"/>
      <c r="F46" s="86"/>
      <c r="G46" s="86"/>
      <c r="H46" s="86"/>
      <c r="I46" s="86"/>
      <c r="J46" s="1094"/>
      <c r="K46" s="48"/>
      <c r="L46" s="48"/>
    </row>
    <row r="47" spans="1:12">
      <c r="A47" s="349"/>
      <c r="B47" s="349"/>
      <c r="C47" s="351"/>
      <c r="D47" s="351"/>
      <c r="E47" s="351"/>
      <c r="F47" s="351"/>
      <c r="G47" s="351"/>
      <c r="H47" s="351"/>
      <c r="I47" s="351"/>
      <c r="J47" s="351"/>
      <c r="K47" s="48"/>
      <c r="L47" s="48"/>
    </row>
    <row r="48" spans="1:12">
      <c r="A48" s="349"/>
      <c r="B48" s="349"/>
      <c r="C48" s="352"/>
      <c r="D48" s="352"/>
      <c r="E48" s="352"/>
      <c r="F48" s="352"/>
      <c r="G48" s="352"/>
      <c r="H48" s="352"/>
      <c r="I48" s="352"/>
      <c r="J48" s="352"/>
      <c r="K48" s="48"/>
      <c r="L48" s="48"/>
    </row>
    <row r="49" spans="1:12">
      <c r="A49" s="349"/>
      <c r="B49" s="349"/>
      <c r="C49" s="353"/>
      <c r="D49" s="353"/>
      <c r="E49" s="353"/>
      <c r="F49" s="353"/>
      <c r="G49" s="353"/>
      <c r="H49" s="353"/>
      <c r="I49" s="353"/>
      <c r="J49" s="353"/>
      <c r="K49" s="48"/>
      <c r="L49" s="48"/>
    </row>
    <row r="50" spans="1:12">
      <c r="A50" s="48"/>
      <c r="B50" s="48"/>
      <c r="C50" s="354"/>
      <c r="D50" s="354"/>
      <c r="E50" s="354"/>
      <c r="F50" s="84"/>
      <c r="G50" s="84"/>
      <c r="H50" s="84"/>
      <c r="I50" s="84"/>
      <c r="J50" s="84"/>
      <c r="K50" s="48"/>
      <c r="L50" s="48"/>
    </row>
    <row r="51" spans="1:12">
      <c r="A51" s="48"/>
      <c r="B51" s="48"/>
      <c r="C51" s="48"/>
      <c r="D51" s="48"/>
      <c r="E51" s="48"/>
      <c r="F51" s="48"/>
      <c r="G51" s="48"/>
      <c r="H51" s="48"/>
      <c r="I51" s="48"/>
      <c r="J51" s="48"/>
      <c r="K51" s="48"/>
      <c r="L51" s="48"/>
    </row>
    <row r="52" spans="1:12">
      <c r="A52" s="48"/>
      <c r="B52" s="48"/>
      <c r="C52" s="48"/>
      <c r="D52" s="48"/>
      <c r="E52" s="48"/>
      <c r="F52" s="48"/>
      <c r="G52" s="48"/>
      <c r="H52" s="48"/>
      <c r="I52" s="48"/>
      <c r="J52" s="48"/>
    </row>
    <row r="53" spans="1:12">
      <c r="A53" s="48"/>
      <c r="B53" s="48"/>
      <c r="C53" s="48"/>
      <c r="D53" s="48"/>
      <c r="E53" s="48"/>
      <c r="F53" s="48"/>
      <c r="G53" s="48"/>
      <c r="H53" s="48"/>
      <c r="I53" s="48"/>
      <c r="J53" s="48"/>
    </row>
    <row r="54" spans="1:12">
      <c r="A54" s="48"/>
      <c r="B54" s="48"/>
      <c r="C54" s="48"/>
      <c r="D54" s="48"/>
      <c r="E54" s="48"/>
      <c r="F54" s="48"/>
      <c r="G54" s="48"/>
      <c r="H54" s="48"/>
      <c r="I54" s="48"/>
      <c r="J54" s="48"/>
    </row>
    <row r="55" spans="1:12">
      <c r="A55" s="48"/>
      <c r="B55" s="48"/>
      <c r="C55" s="48"/>
      <c r="D55" s="48"/>
      <c r="E55" s="48"/>
      <c r="F55" s="48"/>
      <c r="G55" s="48"/>
      <c r="H55" s="48"/>
      <c r="I55" s="48"/>
      <c r="J55" s="48"/>
    </row>
    <row r="56" spans="1:12">
      <c r="A56" s="48"/>
      <c r="B56" s="48"/>
      <c r="C56" s="48"/>
      <c r="D56" s="48"/>
      <c r="E56" s="48"/>
      <c r="F56" s="48"/>
      <c r="G56" s="48"/>
      <c r="H56" s="48"/>
      <c r="I56" s="48"/>
      <c r="J56" s="48"/>
    </row>
    <row r="57" spans="1:12">
      <c r="A57" s="48"/>
      <c r="B57" s="48"/>
      <c r="C57" s="48"/>
      <c r="D57" s="48"/>
      <c r="E57" s="48"/>
      <c r="F57" s="48"/>
      <c r="G57" s="48"/>
      <c r="H57" s="48"/>
      <c r="I57" s="48"/>
      <c r="J57" s="48"/>
    </row>
    <row r="58" spans="1:12">
      <c r="A58" s="48"/>
      <c r="B58" s="349"/>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row r="61" spans="1:12">
      <c r="A61" s="48"/>
      <c r="B61" s="48"/>
      <c r="C61" s="48"/>
      <c r="D61" s="48"/>
      <c r="E61" s="48"/>
      <c r="F61" s="48"/>
      <c r="G61" s="48"/>
      <c r="H61" s="48"/>
      <c r="I61" s="48"/>
      <c r="J61" s="48"/>
    </row>
    <row r="62" spans="1:12">
      <c r="A62" s="48"/>
      <c r="B62" s="48"/>
      <c r="C62" s="48"/>
      <c r="D62" s="48"/>
      <c r="E62" s="48"/>
      <c r="F62" s="48"/>
      <c r="G62" s="48"/>
      <c r="H62" s="48"/>
      <c r="I62" s="48"/>
      <c r="J62" s="48"/>
    </row>
  </sheetData>
  <mergeCells count="5">
    <mergeCell ref="A2:A3"/>
    <mergeCell ref="B2:B3"/>
    <mergeCell ref="F2:H2"/>
    <mergeCell ref="A27:A28"/>
    <mergeCell ref="A25:A26"/>
  </mergeCells>
  <phoneticPr fontId="17"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sheetPr codeName="Sheet5" enableFormatConditionsCalculation="0">
    <tabColor indexed="42"/>
    <pageSetUpPr fitToPage="1"/>
  </sheetPr>
  <dimension ref="A1:K73"/>
  <sheetViews>
    <sheetView showGridLines="0" topLeftCell="A19" workbookViewId="0">
      <selection activeCell="G41" sqref="G41"/>
    </sheetView>
  </sheetViews>
  <sheetFormatPr defaultRowHeight="11.25" customHeight="1"/>
  <cols>
    <col min="1" max="1" width="33.5703125" style="184" customWidth="1"/>
    <col min="2" max="2" width="5.7109375" style="184" customWidth="1"/>
    <col min="3" max="3" width="8.7109375" style="184" customWidth="1"/>
    <col min="4" max="11" width="9.28515625" style="184" customWidth="1"/>
    <col min="12" max="16384" width="9.140625" style="184"/>
  </cols>
  <sheetData>
    <row r="1" spans="1:11" s="254" customFormat="1" ht="12.75">
      <c r="A1" s="253" t="str">
        <f>muni&amp;" - "&amp;ADJB5&amp;" - "&amp;Date</f>
        <v>LIM333 Greater Tzaneen - Supporting Table SB5 Consolidated Adjustments Budget - social, economic and demographic statistics and assumptions - 26 FEBRUARY 2014</v>
      </c>
      <c r="B1" s="253"/>
      <c r="C1" s="253"/>
      <c r="D1" s="253"/>
      <c r="E1" s="253"/>
      <c r="F1" s="253"/>
      <c r="G1" s="253"/>
      <c r="H1" s="253"/>
      <c r="I1" s="253"/>
      <c r="J1" s="253"/>
      <c r="K1" s="253"/>
    </row>
    <row r="2" spans="1:11" ht="51.75" customHeight="1">
      <c r="A2" s="355" t="s">
        <v>67</v>
      </c>
      <c r="B2" s="356" t="s">
        <v>1537</v>
      </c>
      <c r="C2" s="357" t="str">
        <f>Head44</f>
        <v>1996 Census</v>
      </c>
      <c r="D2" s="358" t="str">
        <f>Head45</f>
        <v>2001 Census</v>
      </c>
      <c r="E2" s="358" t="s">
        <v>68</v>
      </c>
      <c r="F2" s="358" t="str">
        <f>Head1B</f>
        <v>2010/11</v>
      </c>
      <c r="G2" s="358" t="str">
        <f>Head1A</f>
        <v>2011/12</v>
      </c>
      <c r="H2" s="359" t="str">
        <f>Head1</f>
        <v>2012/13</v>
      </c>
      <c r="I2" s="360" t="str">
        <f>Head4</f>
        <v>Current year</v>
      </c>
      <c r="J2" s="361" t="str">
        <f>Head6</f>
        <v>Original Budget</v>
      </c>
      <c r="K2" s="356" t="str">
        <f>Head7</f>
        <v>Adjusted Budget</v>
      </c>
    </row>
    <row r="3" spans="1:11" ht="11.25" customHeight="1">
      <c r="A3" s="362" t="s">
        <v>69</v>
      </c>
      <c r="B3" s="1067"/>
      <c r="C3" s="363"/>
      <c r="D3" s="364"/>
      <c r="E3" s="364"/>
      <c r="F3" s="365"/>
      <c r="G3" s="365"/>
      <c r="H3" s="366"/>
      <c r="I3" s="1115"/>
      <c r="J3" s="365"/>
      <c r="K3" s="366"/>
    </row>
    <row r="4" spans="1:11" ht="11.25" customHeight="1">
      <c r="A4" s="367" t="s">
        <v>70</v>
      </c>
      <c r="B4" s="1068"/>
      <c r="C4" s="377" t="s">
        <v>1789</v>
      </c>
      <c r="D4" s="1186" t="s">
        <v>1808</v>
      </c>
      <c r="E4" s="1186" t="s">
        <v>1809</v>
      </c>
      <c r="F4" s="1186" t="s">
        <v>1810</v>
      </c>
      <c r="G4" s="378"/>
      <c r="H4" s="1066"/>
      <c r="I4" s="1063"/>
      <c r="J4" s="378"/>
      <c r="K4" s="378"/>
    </row>
    <row r="5" spans="1:11" ht="11.25" customHeight="1">
      <c r="A5" s="368" t="s">
        <v>71</v>
      </c>
      <c r="B5" s="1068"/>
      <c r="C5" s="377" t="s">
        <v>1790</v>
      </c>
      <c r="D5" s="1188" t="s">
        <v>1811</v>
      </c>
      <c r="E5" s="1186" t="s">
        <v>1812</v>
      </c>
      <c r="F5" s="1186" t="s">
        <v>1813</v>
      </c>
      <c r="G5" s="378"/>
      <c r="H5" s="1066"/>
      <c r="I5" s="1063"/>
      <c r="J5" s="378"/>
      <c r="K5" s="378"/>
    </row>
    <row r="6" spans="1:11" ht="11.25" customHeight="1">
      <c r="A6" s="368" t="s">
        <v>72</v>
      </c>
      <c r="B6" s="1068"/>
      <c r="C6" s="377" t="s">
        <v>1791</v>
      </c>
      <c r="D6" s="1186" t="s">
        <v>1814</v>
      </c>
      <c r="E6" s="1186" t="s">
        <v>1815</v>
      </c>
      <c r="F6" s="1186" t="s">
        <v>1816</v>
      </c>
      <c r="G6" s="378"/>
      <c r="H6" s="1066"/>
      <c r="I6" s="1063"/>
      <c r="J6" s="378"/>
      <c r="K6" s="378"/>
    </row>
    <row r="7" spans="1:11" ht="11.25" customHeight="1">
      <c r="A7" s="368" t="s">
        <v>73</v>
      </c>
      <c r="B7" s="1068"/>
      <c r="C7" s="377" t="s">
        <v>1792</v>
      </c>
      <c r="D7" s="1186" t="s">
        <v>1817</v>
      </c>
      <c r="E7" s="1186" t="s">
        <v>1818</v>
      </c>
      <c r="F7" s="1186" t="s">
        <v>1819</v>
      </c>
      <c r="G7" s="378"/>
      <c r="H7" s="1066"/>
      <c r="I7" s="1063"/>
      <c r="J7" s="378"/>
      <c r="K7" s="378"/>
    </row>
    <row r="8" spans="1:11" ht="11.25" customHeight="1">
      <c r="A8" s="368" t="s">
        <v>74</v>
      </c>
      <c r="B8" s="1068"/>
      <c r="C8" s="377" t="s">
        <v>1793</v>
      </c>
      <c r="D8" s="1186" t="s">
        <v>1820</v>
      </c>
      <c r="E8" s="1186" t="s">
        <v>1821</v>
      </c>
      <c r="F8" s="1186" t="s">
        <v>1822</v>
      </c>
      <c r="G8" s="378"/>
      <c r="H8" s="1066"/>
      <c r="I8" s="1063"/>
      <c r="J8" s="378"/>
      <c r="K8" s="378"/>
    </row>
    <row r="9" spans="1:11" ht="11.25" customHeight="1">
      <c r="A9" s="369" t="s">
        <v>75</v>
      </c>
      <c r="B9" s="1069"/>
      <c r="C9" s="1113" t="s">
        <v>1794</v>
      </c>
      <c r="D9" s="1186" t="s">
        <v>1823</v>
      </c>
      <c r="E9" s="1187" t="s">
        <v>1824</v>
      </c>
      <c r="F9" s="1187" t="s">
        <v>1825</v>
      </c>
      <c r="G9" s="1114"/>
      <c r="H9" s="1117"/>
      <c r="I9" s="1116"/>
      <c r="J9" s="1114"/>
      <c r="K9" s="1114"/>
    </row>
    <row r="10" spans="1:11" ht="5.0999999999999996" customHeight="1">
      <c r="A10" s="368"/>
      <c r="B10" s="1070"/>
      <c r="C10" s="370"/>
      <c r="D10" s="371"/>
      <c r="E10" s="371"/>
      <c r="F10" s="372"/>
      <c r="G10" s="372"/>
      <c r="H10" s="373"/>
      <c r="I10" s="374"/>
      <c r="J10" s="372"/>
      <c r="K10" s="375"/>
    </row>
    <row r="11" spans="1:11" ht="11.25" customHeight="1">
      <c r="A11" s="376" t="s">
        <v>1558</v>
      </c>
      <c r="B11" s="1070" t="s">
        <v>1544</v>
      </c>
      <c r="C11" s="370"/>
      <c r="D11" s="371"/>
      <c r="E11" s="371"/>
      <c r="F11" s="372"/>
      <c r="G11" s="372"/>
      <c r="H11" s="373"/>
      <c r="I11" s="374"/>
      <c r="J11" s="372"/>
      <c r="K11" s="375"/>
    </row>
    <row r="12" spans="1:11" ht="11.25" customHeight="1">
      <c r="A12" s="368" t="s">
        <v>83</v>
      </c>
      <c r="B12" s="1068"/>
      <c r="C12" s="377"/>
      <c r="D12" s="1190">
        <v>27624</v>
      </c>
      <c r="E12" s="1190">
        <v>4193</v>
      </c>
      <c r="F12" s="1189">
        <v>14571</v>
      </c>
      <c r="G12" s="379"/>
      <c r="H12" s="380"/>
      <c r="I12" s="381"/>
      <c r="J12" s="379"/>
      <c r="K12" s="382"/>
    </row>
    <row r="13" spans="1:11" ht="11.25" customHeight="1">
      <c r="A13" s="1059" t="s">
        <v>1526</v>
      </c>
      <c r="B13" s="1068"/>
      <c r="C13" s="377"/>
      <c r="D13" s="1190">
        <v>15702</v>
      </c>
      <c r="E13" s="1190">
        <v>6776</v>
      </c>
      <c r="F13" s="1189">
        <v>7645</v>
      </c>
      <c r="G13" s="379"/>
      <c r="H13" s="380"/>
      <c r="I13" s="381"/>
      <c r="J13" s="379"/>
      <c r="K13" s="382"/>
    </row>
    <row r="14" spans="1:11" ht="11.25" customHeight="1">
      <c r="A14" s="1059" t="s">
        <v>1527</v>
      </c>
      <c r="B14" s="1068"/>
      <c r="C14" s="377"/>
      <c r="D14" s="1190">
        <v>24734</v>
      </c>
      <c r="E14" s="1190">
        <v>13628</v>
      </c>
      <c r="F14" s="1189">
        <v>12995</v>
      </c>
      <c r="G14" s="379"/>
      <c r="H14" s="380"/>
      <c r="I14" s="381"/>
      <c r="J14" s="379"/>
      <c r="K14" s="382"/>
    </row>
    <row r="15" spans="1:11" ht="11.25" customHeight="1">
      <c r="A15" s="1059" t="s">
        <v>1528</v>
      </c>
      <c r="B15" s="1068"/>
      <c r="C15" s="377"/>
      <c r="D15" s="1190">
        <v>14275</v>
      </c>
      <c r="E15" s="1190">
        <v>24910</v>
      </c>
      <c r="F15" s="1189">
        <v>27200</v>
      </c>
      <c r="G15" s="379"/>
      <c r="H15" s="380"/>
      <c r="I15" s="381"/>
      <c r="J15" s="379"/>
      <c r="K15" s="382"/>
    </row>
    <row r="16" spans="1:11" ht="11.25" customHeight="1">
      <c r="A16" s="1059" t="s">
        <v>1529</v>
      </c>
      <c r="B16" s="1068"/>
      <c r="C16" s="377"/>
      <c r="D16" s="1190">
        <v>7312</v>
      </c>
      <c r="E16" s="1190">
        <v>20860</v>
      </c>
      <c r="F16" s="1189">
        <v>23922</v>
      </c>
      <c r="G16" s="379"/>
      <c r="H16" s="380"/>
      <c r="I16" s="381"/>
      <c r="J16" s="379"/>
      <c r="K16" s="382"/>
    </row>
    <row r="17" spans="1:11" ht="11.25" customHeight="1">
      <c r="A17" s="1059" t="s">
        <v>1530</v>
      </c>
      <c r="B17" s="1068"/>
      <c r="C17" s="377"/>
      <c r="D17" s="1190">
        <v>3801</v>
      </c>
      <c r="E17" s="1190">
        <v>8157</v>
      </c>
      <c r="F17" s="1189">
        <v>9613</v>
      </c>
      <c r="G17" s="379"/>
      <c r="H17" s="380"/>
      <c r="I17" s="381"/>
      <c r="J17" s="379"/>
      <c r="K17" s="382"/>
    </row>
    <row r="18" spans="1:11" ht="11.25" customHeight="1">
      <c r="A18" s="1059" t="s">
        <v>1531</v>
      </c>
      <c r="B18" s="1068"/>
      <c r="C18" s="377"/>
      <c r="D18" s="1190">
        <v>2358</v>
      </c>
      <c r="E18" s="1190">
        <v>4433</v>
      </c>
      <c r="F18" s="1189">
        <v>5474</v>
      </c>
      <c r="G18" s="379"/>
      <c r="H18" s="380"/>
      <c r="I18" s="381"/>
      <c r="J18" s="379"/>
      <c r="K18" s="382"/>
    </row>
    <row r="19" spans="1:11" ht="11.25" customHeight="1">
      <c r="A19" s="1059" t="s">
        <v>1532</v>
      </c>
      <c r="B19" s="1068"/>
      <c r="C19" s="377"/>
      <c r="D19" s="1190">
        <v>1016</v>
      </c>
      <c r="E19" s="1190">
        <v>1906</v>
      </c>
      <c r="F19" s="1189">
        <v>4227</v>
      </c>
      <c r="G19" s="379"/>
      <c r="H19" s="380"/>
      <c r="I19" s="381"/>
      <c r="J19" s="379"/>
      <c r="K19" s="382"/>
    </row>
    <row r="20" spans="1:11" ht="11.25" customHeight="1">
      <c r="A20" s="1059" t="s">
        <v>1533</v>
      </c>
      <c r="B20" s="1068"/>
      <c r="C20" s="377"/>
      <c r="D20" s="1190">
        <v>280</v>
      </c>
      <c r="E20" s="1190">
        <v>1095</v>
      </c>
      <c r="F20" s="1189">
        <v>2285</v>
      </c>
      <c r="G20" s="379"/>
      <c r="H20" s="380"/>
      <c r="I20" s="381"/>
      <c r="J20" s="379"/>
      <c r="K20" s="382"/>
    </row>
    <row r="21" spans="1:11" ht="11.25" customHeight="1">
      <c r="A21" s="1059" t="s">
        <v>1534</v>
      </c>
      <c r="B21" s="1068"/>
      <c r="C21" s="377"/>
      <c r="D21" s="1190">
        <v>90</v>
      </c>
      <c r="E21" s="1190">
        <v>419</v>
      </c>
      <c r="F21" s="1189">
        <v>594</v>
      </c>
      <c r="G21" s="379"/>
      <c r="H21" s="382"/>
      <c r="I21" s="1065"/>
      <c r="J21" s="379"/>
      <c r="K21" s="382"/>
    </row>
    <row r="22" spans="1:11" ht="11.25" customHeight="1">
      <c r="A22" s="1059" t="s">
        <v>1535</v>
      </c>
      <c r="B22" s="1068"/>
      <c r="C22" s="1063"/>
      <c r="D22" s="1190">
        <v>131</v>
      </c>
      <c r="E22" s="1190">
        <v>68</v>
      </c>
      <c r="F22" s="1189">
        <v>200</v>
      </c>
      <c r="G22" s="378"/>
      <c r="H22" s="1066"/>
      <c r="I22" s="1063"/>
      <c r="J22" s="378"/>
      <c r="K22" s="1066"/>
    </row>
    <row r="23" spans="1:11" ht="11.25" customHeight="1">
      <c r="A23" s="1059" t="s">
        <v>1536</v>
      </c>
      <c r="B23" s="1068"/>
      <c r="C23" s="1063"/>
      <c r="D23" s="1190">
        <v>54</v>
      </c>
      <c r="E23" s="1190"/>
      <c r="F23" s="1189">
        <v>188</v>
      </c>
      <c r="G23" s="378"/>
      <c r="H23" s="1066"/>
      <c r="I23" s="1063"/>
      <c r="J23" s="378"/>
      <c r="K23" s="1066"/>
    </row>
    <row r="24" spans="1:11" ht="6" customHeight="1">
      <c r="A24" s="1059"/>
      <c r="B24" s="1068"/>
      <c r="C24" s="1064"/>
      <c r="D24" s="384"/>
      <c r="E24" s="384"/>
      <c r="F24" s="385"/>
      <c r="G24" s="385"/>
      <c r="H24" s="386"/>
      <c r="I24" s="387"/>
      <c r="J24" s="385"/>
      <c r="K24" s="388"/>
    </row>
    <row r="25" spans="1:11" ht="11.25" customHeight="1">
      <c r="A25" s="376" t="s">
        <v>1559</v>
      </c>
      <c r="B25" s="1068"/>
      <c r="C25" s="383"/>
      <c r="D25" s="384"/>
      <c r="E25" s="384"/>
      <c r="F25" s="385"/>
      <c r="G25" s="385"/>
      <c r="H25" s="386"/>
      <c r="I25" s="387"/>
      <c r="J25" s="385"/>
      <c r="K25" s="388"/>
    </row>
    <row r="26" spans="1:11" ht="11.25" customHeight="1">
      <c r="A26" s="1059" t="s">
        <v>1538</v>
      </c>
      <c r="B26" s="1068">
        <v>13</v>
      </c>
      <c r="C26" s="389"/>
      <c r="D26" s="1191">
        <v>27624</v>
      </c>
      <c r="E26" s="1191">
        <v>4193</v>
      </c>
      <c r="F26" s="1191">
        <v>14571</v>
      </c>
      <c r="G26" s="390"/>
      <c r="H26" s="1062"/>
      <c r="I26" s="1060"/>
      <c r="J26" s="390"/>
      <c r="K26" s="1062"/>
    </row>
    <row r="27" spans="1:11" ht="11.25" customHeight="1">
      <c r="A27" s="826" t="s">
        <v>84</v>
      </c>
      <c r="B27" s="1071">
        <v>2</v>
      </c>
      <c r="C27" s="389"/>
      <c r="D27" s="390"/>
      <c r="E27" s="390"/>
      <c r="F27" s="391"/>
      <c r="G27" s="391"/>
      <c r="H27" s="392"/>
      <c r="I27" s="1061"/>
      <c r="J27" s="391"/>
      <c r="K27" s="392"/>
    </row>
    <row r="28" spans="1:11" ht="5.0999999999999996" customHeight="1">
      <c r="A28" s="369"/>
      <c r="B28" s="1069"/>
      <c r="C28" s="393"/>
      <c r="D28" s="394"/>
      <c r="E28" s="394"/>
      <c r="F28" s="395"/>
      <c r="G28" s="395"/>
      <c r="H28" s="396"/>
      <c r="I28" s="397"/>
      <c r="J28" s="395"/>
      <c r="K28" s="398"/>
    </row>
    <row r="29" spans="1:11" ht="11.25" customHeight="1">
      <c r="A29" s="376" t="s">
        <v>85</v>
      </c>
      <c r="B29" s="1068"/>
      <c r="C29" s="383"/>
      <c r="D29" s="384"/>
      <c r="E29" s="384"/>
      <c r="F29" s="385"/>
      <c r="G29" s="385"/>
      <c r="H29" s="386"/>
      <c r="I29" s="387"/>
      <c r="J29" s="385"/>
      <c r="K29" s="388"/>
    </row>
    <row r="30" spans="1:11" ht="11.25" customHeight="1">
      <c r="A30" s="826" t="s">
        <v>86</v>
      </c>
      <c r="B30" s="1071"/>
      <c r="C30" s="389" t="s">
        <v>1795</v>
      </c>
      <c r="D30" s="1192" t="s">
        <v>1808</v>
      </c>
      <c r="E30" s="1192" t="s">
        <v>1809</v>
      </c>
      <c r="F30" s="1192" t="s">
        <v>1810</v>
      </c>
      <c r="G30" s="109"/>
      <c r="H30" s="399"/>
      <c r="I30" s="400"/>
      <c r="J30" s="109"/>
      <c r="K30" s="110"/>
    </row>
    <row r="31" spans="1:11" ht="11.25" customHeight="1">
      <c r="A31" s="826" t="s">
        <v>87</v>
      </c>
      <c r="B31" s="1071"/>
      <c r="C31" s="389"/>
      <c r="D31" s="1193"/>
      <c r="E31" s="1193"/>
      <c r="F31" s="1193"/>
      <c r="G31" s="109"/>
      <c r="H31" s="399"/>
      <c r="I31" s="400"/>
      <c r="J31" s="109"/>
      <c r="K31" s="110"/>
    </row>
    <row r="32" spans="1:11" ht="11.25" customHeight="1">
      <c r="A32" s="826" t="s">
        <v>88</v>
      </c>
      <c r="B32" s="1071"/>
      <c r="C32" s="389" t="s">
        <v>1796</v>
      </c>
      <c r="D32" s="1193" t="s">
        <v>1826</v>
      </c>
      <c r="E32" s="1193" t="s">
        <v>1827</v>
      </c>
      <c r="F32" s="1193" t="s">
        <v>1828</v>
      </c>
      <c r="G32" s="109"/>
      <c r="H32" s="399"/>
      <c r="I32" s="400"/>
      <c r="J32" s="109"/>
      <c r="K32" s="110"/>
    </row>
    <row r="33" spans="1:11" ht="11.25" customHeight="1">
      <c r="A33" s="826" t="s">
        <v>89</v>
      </c>
      <c r="B33" s="1071"/>
      <c r="C33" s="389"/>
      <c r="D33" s="390"/>
      <c r="E33" s="390"/>
      <c r="F33" s="109"/>
      <c r="G33" s="109"/>
      <c r="H33" s="399"/>
      <c r="I33" s="400"/>
      <c r="J33" s="109"/>
      <c r="K33" s="110"/>
    </row>
    <row r="34" spans="1:11" ht="11.25" customHeight="1">
      <c r="A34" s="826" t="s">
        <v>90</v>
      </c>
      <c r="B34" s="1072"/>
      <c r="C34" s="401"/>
      <c r="D34" s="402"/>
      <c r="E34" s="402"/>
      <c r="F34" s="403"/>
      <c r="G34" s="403"/>
      <c r="H34" s="404"/>
      <c r="I34" s="405"/>
      <c r="J34" s="403"/>
      <c r="K34" s="406"/>
    </row>
    <row r="35" spans="1:11" ht="5.0999999999999996" customHeight="1">
      <c r="A35" s="376"/>
      <c r="B35" s="1068"/>
      <c r="C35" s="383"/>
      <c r="D35" s="384"/>
      <c r="E35" s="384"/>
      <c r="F35" s="385"/>
      <c r="G35" s="385"/>
      <c r="H35" s="386"/>
      <c r="I35" s="387"/>
      <c r="J35" s="385"/>
      <c r="K35" s="388"/>
    </row>
    <row r="36" spans="1:11" ht="11.25" customHeight="1">
      <c r="A36" s="376" t="s">
        <v>1539</v>
      </c>
      <c r="B36" s="1068">
        <v>3</v>
      </c>
      <c r="C36" s="383"/>
      <c r="D36" s="384"/>
      <c r="E36" s="384"/>
      <c r="F36" s="385"/>
      <c r="G36" s="385"/>
      <c r="H36" s="386"/>
      <c r="I36" s="387"/>
      <c r="J36" s="385"/>
      <c r="K36" s="388"/>
    </row>
    <row r="37" spans="1:11" ht="11.25" customHeight="1">
      <c r="A37" s="826" t="s">
        <v>91</v>
      </c>
      <c r="B37" s="1071"/>
      <c r="C37" s="389" t="s">
        <v>1797</v>
      </c>
      <c r="D37" s="1194">
        <v>59183</v>
      </c>
      <c r="E37" s="1194">
        <v>78737</v>
      </c>
      <c r="F37" s="1194">
        <v>98021</v>
      </c>
      <c r="G37" s="407"/>
      <c r="H37" s="408"/>
      <c r="I37" s="409"/>
      <c r="J37" s="407"/>
      <c r="K37" s="410"/>
    </row>
    <row r="38" spans="1:11" ht="11.25" customHeight="1">
      <c r="A38" s="826" t="s">
        <v>92</v>
      </c>
      <c r="B38" s="1071"/>
      <c r="C38" s="401" t="s">
        <v>1798</v>
      </c>
      <c r="D38" s="1196">
        <v>3470</v>
      </c>
      <c r="E38" s="1195">
        <v>2643</v>
      </c>
      <c r="F38" s="1195">
        <v>2756</v>
      </c>
      <c r="G38" s="411"/>
      <c r="H38" s="412"/>
      <c r="I38" s="413"/>
      <c r="J38" s="411"/>
      <c r="K38" s="414"/>
    </row>
    <row r="39" spans="1:11" ht="11.25" customHeight="1">
      <c r="A39" s="415" t="s">
        <v>1209</v>
      </c>
      <c r="B39" s="1068"/>
      <c r="C39" s="370">
        <f t="shared" ref="C39:K39" si="0">SUM(C37:C38)</f>
        <v>0</v>
      </c>
      <c r="D39" s="371">
        <f t="shared" si="0"/>
        <v>62653</v>
      </c>
      <c r="E39" s="371">
        <f t="shared" si="0"/>
        <v>81380</v>
      </c>
      <c r="F39" s="416">
        <f t="shared" si="0"/>
        <v>100777</v>
      </c>
      <c r="G39" s="416">
        <f t="shared" si="0"/>
        <v>0</v>
      </c>
      <c r="H39" s="417">
        <f t="shared" si="0"/>
        <v>0</v>
      </c>
      <c r="I39" s="418">
        <f t="shared" si="0"/>
        <v>0</v>
      </c>
      <c r="J39" s="416">
        <f t="shared" si="0"/>
        <v>0</v>
      </c>
      <c r="K39" s="419">
        <f t="shared" si="0"/>
        <v>0</v>
      </c>
    </row>
    <row r="40" spans="1:11" ht="11.25" customHeight="1">
      <c r="A40" s="826" t="s">
        <v>1540</v>
      </c>
      <c r="B40" s="1071">
        <v>4</v>
      </c>
      <c r="C40" s="389"/>
      <c r="D40" s="390"/>
      <c r="E40" s="390"/>
      <c r="F40" s="407"/>
      <c r="G40" s="407"/>
      <c r="H40" s="408"/>
      <c r="I40" s="409"/>
      <c r="J40" s="407"/>
      <c r="K40" s="410"/>
    </row>
    <row r="41" spans="1:11" ht="11.25" customHeight="1">
      <c r="A41" s="826" t="s">
        <v>93</v>
      </c>
      <c r="B41" s="1071"/>
      <c r="C41" s="389"/>
      <c r="D41" s="390"/>
      <c r="E41" s="390"/>
      <c r="F41" s="407"/>
      <c r="G41" s="407"/>
      <c r="H41" s="408"/>
      <c r="I41" s="409"/>
      <c r="J41" s="407"/>
      <c r="K41" s="410"/>
    </row>
    <row r="42" spans="1:11" ht="11.25" customHeight="1">
      <c r="A42" s="826" t="s">
        <v>1541</v>
      </c>
      <c r="B42" s="1071">
        <v>5</v>
      </c>
      <c r="C42" s="389"/>
      <c r="D42" s="390"/>
      <c r="E42" s="390"/>
      <c r="F42" s="407"/>
      <c r="G42" s="407"/>
      <c r="H42" s="408"/>
      <c r="I42" s="409"/>
      <c r="J42" s="407"/>
      <c r="K42" s="410"/>
    </row>
    <row r="43" spans="1:11" ht="11.25" customHeight="1">
      <c r="A43" s="420" t="s">
        <v>94</v>
      </c>
      <c r="B43" s="1069"/>
      <c r="C43" s="421">
        <f t="shared" ref="C43:K43" si="1">SUM(C40:C42)</f>
        <v>0</v>
      </c>
      <c r="D43" s="422">
        <f t="shared" si="1"/>
        <v>0</v>
      </c>
      <c r="E43" s="422">
        <f t="shared" si="1"/>
        <v>0</v>
      </c>
      <c r="F43" s="423">
        <f t="shared" si="1"/>
        <v>0</v>
      </c>
      <c r="G43" s="423">
        <f t="shared" si="1"/>
        <v>0</v>
      </c>
      <c r="H43" s="424">
        <f t="shared" si="1"/>
        <v>0</v>
      </c>
      <c r="I43" s="425">
        <f t="shared" si="1"/>
        <v>0</v>
      </c>
      <c r="J43" s="423">
        <f t="shared" si="1"/>
        <v>0</v>
      </c>
      <c r="K43" s="426">
        <f t="shared" si="1"/>
        <v>0</v>
      </c>
    </row>
    <row r="44" spans="1:11" ht="5.0999999999999996" customHeight="1">
      <c r="A44" s="427"/>
      <c r="B44" s="1068"/>
      <c r="C44" s="370"/>
      <c r="D44" s="371"/>
      <c r="E44" s="371"/>
      <c r="F44" s="428"/>
      <c r="G44" s="428"/>
      <c r="H44" s="429"/>
      <c r="I44" s="430"/>
      <c r="J44" s="428"/>
      <c r="K44" s="431"/>
    </row>
    <row r="45" spans="1:11" ht="11.25" customHeight="1">
      <c r="A45" s="432" t="s">
        <v>1542</v>
      </c>
      <c r="B45" s="1068">
        <v>6</v>
      </c>
      <c r="C45" s="433"/>
      <c r="D45" s="434"/>
      <c r="E45" s="434"/>
      <c r="F45" s="435"/>
      <c r="G45" s="435"/>
      <c r="H45" s="436"/>
      <c r="I45" s="437"/>
      <c r="J45" s="438"/>
      <c r="K45" s="439"/>
    </row>
    <row r="46" spans="1:11" ht="11.25" customHeight="1">
      <c r="A46" s="427" t="s">
        <v>95</v>
      </c>
      <c r="B46" s="1071"/>
      <c r="C46" s="440"/>
      <c r="D46" s="441"/>
      <c r="E46" s="441"/>
      <c r="F46" s="442"/>
      <c r="G46" s="442"/>
      <c r="H46" s="443"/>
      <c r="I46" s="444"/>
      <c r="J46" s="442"/>
      <c r="K46" s="445"/>
    </row>
    <row r="47" spans="1:11" ht="11.25" customHeight="1">
      <c r="A47" s="427" t="s">
        <v>96</v>
      </c>
      <c r="B47" s="1071"/>
      <c r="C47" s="440"/>
      <c r="D47" s="441"/>
      <c r="E47" s="441"/>
      <c r="F47" s="442"/>
      <c r="G47" s="442"/>
      <c r="H47" s="443"/>
      <c r="I47" s="444"/>
      <c r="J47" s="442"/>
      <c r="K47" s="445"/>
    </row>
    <row r="48" spans="1:11" ht="11.25" customHeight="1">
      <c r="A48" s="427" t="s">
        <v>97</v>
      </c>
      <c r="B48" s="1071"/>
      <c r="C48" s="446"/>
      <c r="D48" s="447"/>
      <c r="E48" s="447"/>
      <c r="F48" s="442"/>
      <c r="G48" s="442"/>
      <c r="H48" s="443"/>
      <c r="I48" s="444"/>
      <c r="J48" s="442"/>
      <c r="K48" s="445"/>
    </row>
    <row r="49" spans="1:11" ht="11.25" customHeight="1">
      <c r="A49" s="427" t="s">
        <v>98</v>
      </c>
      <c r="B49" s="1071"/>
      <c r="C49" s="440"/>
      <c r="D49" s="441"/>
      <c r="E49" s="441"/>
      <c r="F49" s="448"/>
      <c r="G49" s="448"/>
      <c r="H49" s="449"/>
      <c r="I49" s="450"/>
      <c r="J49" s="448"/>
      <c r="K49" s="451"/>
    </row>
    <row r="50" spans="1:11" ht="11.25" customHeight="1">
      <c r="A50" s="427" t="s">
        <v>99</v>
      </c>
      <c r="B50" s="1071"/>
      <c r="C50" s="440"/>
      <c r="D50" s="441"/>
      <c r="E50" s="441"/>
      <c r="F50" s="448"/>
      <c r="G50" s="448"/>
      <c r="H50" s="449"/>
      <c r="I50" s="450"/>
      <c r="J50" s="448"/>
      <c r="K50" s="451"/>
    </row>
    <row r="51" spans="1:11" ht="11.25" customHeight="1">
      <c r="A51" s="427" t="s">
        <v>100</v>
      </c>
      <c r="B51" s="1071"/>
      <c r="C51" s="440"/>
      <c r="D51" s="441"/>
      <c r="E51" s="441"/>
      <c r="F51" s="448"/>
      <c r="G51" s="448"/>
      <c r="H51" s="449"/>
      <c r="I51" s="450"/>
      <c r="J51" s="448"/>
      <c r="K51" s="451"/>
    </row>
    <row r="52" spans="1:11" ht="5.0999999999999996" customHeight="1">
      <c r="A52" s="452"/>
      <c r="B52" s="1068"/>
      <c r="C52" s="370"/>
      <c r="D52" s="371"/>
      <c r="E52" s="371"/>
      <c r="F52" s="435"/>
      <c r="G52" s="435"/>
      <c r="H52" s="453"/>
      <c r="I52" s="454"/>
      <c r="J52" s="435"/>
      <c r="K52" s="455"/>
    </row>
    <row r="53" spans="1:11" ht="11.25" customHeight="1">
      <c r="A53" s="432" t="s">
        <v>1543</v>
      </c>
      <c r="B53" s="1068">
        <v>7</v>
      </c>
      <c r="C53" s="370"/>
      <c r="D53" s="371"/>
      <c r="E53" s="371"/>
      <c r="F53" s="435"/>
      <c r="G53" s="435"/>
      <c r="H53" s="453"/>
      <c r="I53" s="454"/>
      <c r="J53" s="435"/>
      <c r="K53" s="455"/>
    </row>
    <row r="54" spans="1:11" ht="11.25" customHeight="1">
      <c r="A54" s="427" t="s">
        <v>101</v>
      </c>
      <c r="B54" s="1071"/>
      <c r="C54" s="440"/>
      <c r="D54" s="441"/>
      <c r="E54" s="441"/>
      <c r="F54" s="442" t="s">
        <v>102</v>
      </c>
      <c r="G54" s="442" t="s">
        <v>102</v>
      </c>
      <c r="H54" s="443" t="s">
        <v>102</v>
      </c>
      <c r="I54" s="444" t="s">
        <v>102</v>
      </c>
      <c r="J54" s="442" t="s">
        <v>102</v>
      </c>
      <c r="K54" s="445" t="s">
        <v>102</v>
      </c>
    </row>
    <row r="55" spans="1:11" ht="11.25" customHeight="1">
      <c r="A55" s="427" t="s">
        <v>103</v>
      </c>
      <c r="B55" s="1071"/>
      <c r="C55" s="440"/>
      <c r="D55" s="441"/>
      <c r="E55" s="441"/>
      <c r="F55" s="442" t="s">
        <v>102</v>
      </c>
      <c r="G55" s="442" t="s">
        <v>102</v>
      </c>
      <c r="H55" s="443" t="s">
        <v>102</v>
      </c>
      <c r="I55" s="444" t="s">
        <v>102</v>
      </c>
      <c r="J55" s="442" t="s">
        <v>102</v>
      </c>
      <c r="K55" s="445" t="s">
        <v>102</v>
      </c>
    </row>
    <row r="56" spans="1:11" ht="11.25" customHeight="1">
      <c r="A56" s="427" t="s">
        <v>104</v>
      </c>
      <c r="B56" s="1071"/>
      <c r="C56" s="440"/>
      <c r="D56" s="441"/>
      <c r="E56" s="441"/>
      <c r="F56" s="442" t="s">
        <v>102</v>
      </c>
      <c r="G56" s="442" t="s">
        <v>102</v>
      </c>
      <c r="H56" s="443" t="s">
        <v>102</v>
      </c>
      <c r="I56" s="444" t="s">
        <v>102</v>
      </c>
      <c r="J56" s="442" t="s">
        <v>102</v>
      </c>
      <c r="K56" s="445" t="s">
        <v>102</v>
      </c>
    </row>
    <row r="57" spans="1:11" ht="11.25" customHeight="1">
      <c r="A57" s="427" t="s">
        <v>105</v>
      </c>
      <c r="B57" s="1071"/>
      <c r="C57" s="440"/>
      <c r="D57" s="441"/>
      <c r="E57" s="441"/>
      <c r="F57" s="442" t="s">
        <v>102</v>
      </c>
      <c r="G57" s="442" t="s">
        <v>102</v>
      </c>
      <c r="H57" s="443" t="s">
        <v>102</v>
      </c>
      <c r="I57" s="444" t="s">
        <v>102</v>
      </c>
      <c r="J57" s="442" t="s">
        <v>102</v>
      </c>
      <c r="K57" s="445" t="s">
        <v>102</v>
      </c>
    </row>
    <row r="58" spans="1:11" ht="11.25" customHeight="1">
      <c r="A58" s="427" t="s">
        <v>106</v>
      </c>
      <c r="B58" s="1071"/>
      <c r="C58" s="440"/>
      <c r="D58" s="441"/>
      <c r="E58" s="441"/>
      <c r="F58" s="442" t="s">
        <v>102</v>
      </c>
      <c r="G58" s="442" t="s">
        <v>102</v>
      </c>
      <c r="H58" s="443" t="s">
        <v>102</v>
      </c>
      <c r="I58" s="444" t="s">
        <v>102</v>
      </c>
      <c r="J58" s="442" t="s">
        <v>102</v>
      </c>
      <c r="K58" s="445" t="s">
        <v>102</v>
      </c>
    </row>
    <row r="59" spans="1:11" ht="5.0999999999999996" customHeight="1">
      <c r="A59" s="456"/>
      <c r="B59" s="1073"/>
      <c r="C59" s="457"/>
      <c r="D59" s="458"/>
      <c r="E59" s="458"/>
      <c r="F59" s="459"/>
      <c r="G59" s="459"/>
      <c r="H59" s="460"/>
      <c r="I59" s="461"/>
      <c r="J59" s="462"/>
      <c r="K59" s="463"/>
    </row>
    <row r="60" spans="1:11" ht="11.25" customHeight="1">
      <c r="A60" s="285" t="str">
        <f>head27a</f>
        <v>References</v>
      </c>
    </row>
    <row r="61" spans="1:11" ht="11.25" customHeight="1">
      <c r="A61" s="288" t="s">
        <v>1545</v>
      </c>
    </row>
    <row r="62" spans="1:11" ht="11.25" customHeight="1">
      <c r="A62" s="288" t="s">
        <v>1546</v>
      </c>
    </row>
    <row r="63" spans="1:11" ht="11.25" customHeight="1">
      <c r="A63" s="288" t="s">
        <v>1547</v>
      </c>
    </row>
    <row r="64" spans="1:11" ht="11.25" customHeight="1">
      <c r="A64" s="288" t="s">
        <v>1548</v>
      </c>
    </row>
    <row r="65" spans="1:11" ht="11.25" customHeight="1">
      <c r="A65" s="288" t="s">
        <v>1549</v>
      </c>
    </row>
    <row r="66" spans="1:11" ht="11.25" customHeight="1">
      <c r="A66" s="286" t="s">
        <v>1550</v>
      </c>
      <c r="B66" s="870"/>
      <c r="F66" s="464"/>
      <c r="G66" s="464"/>
      <c r="H66" s="464"/>
      <c r="I66" s="464"/>
      <c r="J66" s="464"/>
      <c r="K66" s="464"/>
    </row>
    <row r="67" spans="1:11" ht="11.25" customHeight="1">
      <c r="A67" s="286" t="s">
        <v>1551</v>
      </c>
      <c r="F67" s="464"/>
      <c r="G67" s="464"/>
      <c r="H67" s="464"/>
      <c r="I67" s="464"/>
      <c r="J67" s="464"/>
      <c r="K67" s="464"/>
    </row>
    <row r="68" spans="1:11" ht="11.25" customHeight="1">
      <c r="A68" s="861" t="s">
        <v>1552</v>
      </c>
      <c r="F68" s="464"/>
      <c r="G68" s="464"/>
      <c r="H68" s="464"/>
      <c r="I68" s="464"/>
      <c r="J68" s="464"/>
      <c r="K68" s="464"/>
    </row>
    <row r="69" spans="1:11" ht="11.25" customHeight="1">
      <c r="A69" s="861" t="s">
        <v>1553</v>
      </c>
      <c r="F69" s="464"/>
      <c r="G69" s="464"/>
      <c r="H69" s="464"/>
      <c r="I69" s="464"/>
      <c r="J69" s="464"/>
      <c r="K69" s="464"/>
    </row>
    <row r="70" spans="1:11" ht="11.25" customHeight="1">
      <c r="A70" s="861" t="s">
        <v>1554</v>
      </c>
      <c r="F70" s="464"/>
      <c r="G70" s="464"/>
      <c r="H70" s="464"/>
      <c r="I70" s="464"/>
      <c r="J70" s="464"/>
      <c r="K70" s="464"/>
    </row>
    <row r="71" spans="1:11" ht="11.25" customHeight="1">
      <c r="A71" s="861" t="s">
        <v>1555</v>
      </c>
    </row>
    <row r="72" spans="1:11" ht="11.25" customHeight="1">
      <c r="A72" s="288" t="s">
        <v>1556</v>
      </c>
      <c r="F72" s="465"/>
      <c r="G72" s="465"/>
      <c r="H72" s="465"/>
      <c r="I72" s="465"/>
      <c r="J72" s="465"/>
      <c r="K72" s="465"/>
    </row>
    <row r="73" spans="1:11" ht="11.25" customHeight="1">
      <c r="A73" s="1074" t="s">
        <v>1557</v>
      </c>
      <c r="F73" s="465"/>
      <c r="G73" s="465"/>
      <c r="H73" s="465"/>
      <c r="I73" s="466"/>
      <c r="J73" s="466"/>
      <c r="K73" s="466"/>
    </row>
  </sheetData>
  <phoneticPr fontId="17"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96" enableFormatConditionsCalculation="0">
    <tabColor indexed="42"/>
    <pageSetUpPr fitToPage="1"/>
  </sheetPr>
  <dimension ref="A1:P93"/>
  <sheetViews>
    <sheetView showGridLines="0" workbookViewId="0">
      <pane xSplit="2" ySplit="3" topLeftCell="C6" activePane="bottomRight" state="frozen"/>
      <selection activeCell="M17" sqref="M17:M63"/>
      <selection pane="topRight" activeCell="M17" sqref="M17:M63"/>
      <selection pane="bottomLeft" activeCell="M17" sqref="M17:M63"/>
      <selection pane="bottomRight" activeCell="D15" sqref="D15"/>
    </sheetView>
  </sheetViews>
  <sheetFormatPr defaultRowHeight="12.7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c r="A1" s="57" t="str">
        <f>muni &amp;" - "&amp;ADJB6&amp;" - "&amp;Date</f>
        <v>LIM333 Greater Tzaneen - Supporting Table SB6 Consolidated Adjustments Budget - funding measurement - 26 FEBRUARY 2014</v>
      </c>
      <c r="C1" s="5"/>
      <c r="D1" s="5"/>
      <c r="E1" s="5"/>
    </row>
    <row r="2" spans="1:11">
      <c r="A2" s="59" t="str">
        <f>desc</f>
        <v>Description</v>
      </c>
      <c r="B2" s="1360" t="str">
        <f>head27</f>
        <v>Ref</v>
      </c>
      <c r="C2" s="1360" t="s">
        <v>107</v>
      </c>
      <c r="D2" s="467" t="str">
        <f>Head1B</f>
        <v>2010/11</v>
      </c>
      <c r="E2" s="327" t="str">
        <f>Head1A</f>
        <v>2011/12</v>
      </c>
      <c r="F2" s="327" t="str">
        <f>Head1</f>
        <v>2012/13</v>
      </c>
      <c r="G2" s="468" t="str">
        <f>Head3a</f>
        <v>Medium Term Revenue and Expenditure Framework</v>
      </c>
      <c r="H2" s="169"/>
      <c r="I2" s="468"/>
      <c r="J2" s="169"/>
      <c r="K2" s="170"/>
    </row>
    <row r="3" spans="1:11" ht="38.25">
      <c r="A3" s="469" t="s">
        <v>643</v>
      </c>
      <c r="B3" s="1361"/>
      <c r="C3" s="1361"/>
      <c r="D3" s="47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2014/15</v>
      </c>
      <c r="K3" s="330" t="str">
        <f>Head11</f>
        <v>Budget Year +2 2015/16</v>
      </c>
    </row>
    <row r="4" spans="1:11" ht="12.75" customHeight="1">
      <c r="A4" s="125" t="s">
        <v>108</v>
      </c>
      <c r="B4" s="471"/>
      <c r="C4" s="471"/>
      <c r="D4" s="472"/>
      <c r="E4" s="473"/>
      <c r="F4" s="473"/>
      <c r="G4" s="473"/>
      <c r="H4" s="474"/>
      <c r="I4" s="473"/>
      <c r="J4" s="474"/>
      <c r="K4" s="475"/>
    </row>
    <row r="5" spans="1:11" ht="12.75" customHeight="1">
      <c r="A5" s="128" t="s">
        <v>109</v>
      </c>
      <c r="B5" s="73">
        <v>1</v>
      </c>
      <c r="C5" s="73" t="s">
        <v>110</v>
      </c>
      <c r="D5" s="1273">
        <v>22198274</v>
      </c>
      <c r="E5" s="1272">
        <v>50277604</v>
      </c>
      <c r="F5" s="1272">
        <v>10876224</v>
      </c>
      <c r="G5" s="171">
        <f>'B7-CFlow'!C40</f>
        <v>12342983</v>
      </c>
      <c r="H5" s="171">
        <f>'B7-CFlow'!D40</f>
        <v>0</v>
      </c>
      <c r="I5" s="171">
        <f>'B7-CFlow'!K40</f>
        <v>462</v>
      </c>
      <c r="J5" s="476">
        <f>'B7-CFlow'!L40</f>
        <v>-249.38999998569489</v>
      </c>
      <c r="K5" s="235">
        <f>'B7-CFlow'!M40</f>
        <v>913302.27999997139</v>
      </c>
    </row>
    <row r="6" spans="1:11" ht="12.75" customHeight="1">
      <c r="A6" s="128" t="s">
        <v>111</v>
      </c>
      <c r="B6" s="73">
        <v>2</v>
      </c>
      <c r="C6" s="73" t="s">
        <v>110</v>
      </c>
      <c r="D6" s="400">
        <v>47427855</v>
      </c>
      <c r="E6" s="109">
        <v>68589989</v>
      </c>
      <c r="F6" s="109">
        <v>63080020</v>
      </c>
      <c r="G6" s="171">
        <f>'B8-ResRecon'!C21</f>
        <v>166548817</v>
      </c>
      <c r="H6" s="171">
        <f>'B8-ResRecon'!D21</f>
        <v>0</v>
      </c>
      <c r="I6" s="171">
        <f>'B8-ResRecon'!K21</f>
        <v>25463456</v>
      </c>
      <c r="J6" s="476">
        <f>'B8-ResRecon'!L21</f>
        <v>19904686</v>
      </c>
      <c r="K6" s="235">
        <f>'B8-ResRecon'!M21</f>
        <v>15475741</v>
      </c>
    </row>
    <row r="7" spans="1:11">
      <c r="A7" s="128" t="s">
        <v>112</v>
      </c>
      <c r="B7" s="73">
        <v>3</v>
      </c>
      <c r="C7" s="73" t="s">
        <v>110</v>
      </c>
      <c r="D7" s="400">
        <v>0.62808447300000003</v>
      </c>
      <c r="E7" s="109">
        <v>1.3362479039999999</v>
      </c>
      <c r="F7" s="109">
        <v>0.235551651</v>
      </c>
      <c r="G7" s="171">
        <f>'SB4'!F35</f>
        <v>2.0595517641498629E-2</v>
      </c>
      <c r="H7" s="171">
        <f>'SB4'!G35</f>
        <v>0</v>
      </c>
      <c r="I7" s="171">
        <f>'SB4'!H35</f>
        <v>7.5275079727926564E-7</v>
      </c>
      <c r="J7" s="476">
        <f>'SB4'!I35</f>
        <v>-3.918474045774625E-7</v>
      </c>
      <c r="K7" s="235">
        <f>'SB4'!J35</f>
        <v>1.3702249251803984E-3</v>
      </c>
    </row>
    <row r="8" spans="1:11" ht="12.75" customHeight="1">
      <c r="A8" s="128" t="s">
        <v>113</v>
      </c>
      <c r="B8" s="73">
        <v>4</v>
      </c>
      <c r="C8" s="73" t="s">
        <v>114</v>
      </c>
      <c r="D8" s="400">
        <v>22924586.050000001</v>
      </c>
      <c r="E8" s="109">
        <v>-88639357.359999999</v>
      </c>
      <c r="F8" s="109">
        <v>-10786052.1</v>
      </c>
      <c r="G8" s="171">
        <f>'B4-FinPerf RE'!C44+'SB2'!C52</f>
        <v>69707743.379999995</v>
      </c>
      <c r="H8" s="171">
        <f>'B4-FinPerf RE'!D44+'SB2'!D52</f>
        <v>0</v>
      </c>
      <c r="I8" s="171">
        <f>'B4-FinPerf RE'!K44+'SB2'!K52</f>
        <v>110634357.38</v>
      </c>
      <c r="J8" s="171">
        <f>'B4-FinPerf RE'!L44+'SB2'!L52</f>
        <v>80775442.218000174</v>
      </c>
      <c r="K8" s="235">
        <f>'B4-FinPerf RE'!M44+'SB2'!M52</f>
        <v>127519419.69889987</v>
      </c>
    </row>
    <row r="9" spans="1:11" ht="12.75" customHeight="1">
      <c r="A9" s="30" t="s">
        <v>115</v>
      </c>
      <c r="B9" s="136">
        <v>5</v>
      </c>
      <c r="C9" s="136" t="s">
        <v>116</v>
      </c>
      <c r="D9" s="477" t="s">
        <v>1997</v>
      </c>
      <c r="E9" s="335">
        <v>0.172676892</v>
      </c>
      <c r="F9" s="335">
        <v>2.5802424000000001E-2</v>
      </c>
      <c r="G9" s="336">
        <f>IF(ISERROR(((G36/G37)-1)-G35),0,(((G36/G37)-1)-G35))</f>
        <v>2.468924222435237E-2</v>
      </c>
      <c r="H9" s="336">
        <f>IF(ISERROR(((H36/H37)-1)-H35),0,(((H36/H37)-1)-H35))</f>
        <v>0</v>
      </c>
      <c r="I9" s="336">
        <f>IF(ISERROR(((I36/I37)-1)-I35),0,(((I36/I37)-1)-I35))</f>
        <v>2.468924222435237E-2</v>
      </c>
      <c r="J9" s="336">
        <f>IF(ISERROR(((J36/J37)-1)-J35),0,(((J36/J37)-1)-J35))</f>
        <v>-1.1000000387193454E-2</v>
      </c>
      <c r="K9" s="338">
        <f>IF(ISERROR(((K36/K37)-1)-K35),0,(((K36/K37)-1)-K35))</f>
        <v>-1.1000000811827559E-2</v>
      </c>
    </row>
    <row r="10" spans="1:11" ht="12.75" customHeight="1">
      <c r="A10" s="30" t="s">
        <v>117</v>
      </c>
      <c r="B10" s="136">
        <v>6</v>
      </c>
      <c r="C10" s="136" t="s">
        <v>116</v>
      </c>
      <c r="D10" s="478">
        <f t="shared" ref="D10:K10" si="0">IF(ISERROR(D40/D41),0,(D40/D41))</f>
        <v>0.9517848915891618</v>
      </c>
      <c r="E10" s="479">
        <f t="shared" si="0"/>
        <v>1.0780953726007119</v>
      </c>
      <c r="F10" s="479">
        <f t="shared" si="0"/>
        <v>0.78974647088370808</v>
      </c>
      <c r="G10" s="336">
        <f t="shared" si="0"/>
        <v>1.7846533190976974</v>
      </c>
      <c r="H10" s="480">
        <f t="shared" si="0"/>
        <v>0</v>
      </c>
      <c r="I10" s="336">
        <f t="shared" si="0"/>
        <v>1.0633378075955324</v>
      </c>
      <c r="J10" s="337">
        <f t="shared" si="0"/>
        <v>1.0639591155501027</v>
      </c>
      <c r="K10" s="338">
        <f t="shared" si="0"/>
        <v>1.0628137355895535</v>
      </c>
    </row>
    <row r="11" spans="1:11" ht="12.75" customHeight="1">
      <c r="A11" s="30" t="s">
        <v>118</v>
      </c>
      <c r="B11" s="136">
        <v>7</v>
      </c>
      <c r="C11" s="136" t="s">
        <v>116</v>
      </c>
      <c r="D11" s="339">
        <v>6.8361878000000001E-2</v>
      </c>
      <c r="E11" s="335">
        <v>3.2162270999999999E-2</v>
      </c>
      <c r="F11" s="335">
        <v>0.119885608</v>
      </c>
      <c r="G11" s="336">
        <f>IF(ISERROR('B4-FinPerf RE'!C29/(SUM('B4-FinPerf RE'!C7:C14))),0,('B4-FinPerf RE'!C29/(SUM('B4-FinPerf RE'!C7:C14))))</f>
        <v>2.406235978950293E-2</v>
      </c>
      <c r="H11" s="336">
        <f>IF(ISERROR('B4-FinPerf RE'!D29/(SUM('B4-FinPerf RE'!D7:D14))),0,('B4-FinPerf RE'!D29/(SUM('B4-FinPerf RE'!D7:D14))))</f>
        <v>0</v>
      </c>
      <c r="I11" s="336">
        <f>IF(ISERROR('B4-FinPerf RE'!K29/(SUM('B4-FinPerf RE'!K7:K14))),0,('B4-FinPerf RE'!K29/(SUM('B4-FinPerf RE'!K7:K14))))</f>
        <v>2.406235978950293E-2</v>
      </c>
      <c r="J11" s="337">
        <f>IF(ISERROR('B4-FinPerf RE'!L29/(SUM('B4-FinPerf RE'!L7:L14))),0,('B4-FinPerf RE'!L29/(SUM('B4-FinPerf RE'!L7:L14))))</f>
        <v>2.4062359793364487E-2</v>
      </c>
      <c r="K11" s="338">
        <f>IF(ISERROR('B4-FinPerf RE'!M29/(SUM('B4-FinPerf RE'!M7:M14))),0,('B4-FinPerf RE'!M29/(SUM('B4-FinPerf RE'!M7:M14))))</f>
        <v>2.4062359005519722E-2</v>
      </c>
    </row>
    <row r="12" spans="1:11" ht="12.75" customHeight="1">
      <c r="A12" s="30" t="s">
        <v>119</v>
      </c>
      <c r="B12" s="136">
        <v>8</v>
      </c>
      <c r="C12" s="136" t="s">
        <v>120</v>
      </c>
      <c r="D12" s="339">
        <v>0.66347474399999995</v>
      </c>
      <c r="E12" s="335">
        <v>0.355087192</v>
      </c>
      <c r="F12" s="335">
        <v>1.018920995</v>
      </c>
      <c r="G12" s="336">
        <f>IF(ISERROR(-'B7-CFlow'!C26/'B5-Capex'!C65),0,(-'B7-CFlow'!C26/'B5-Capex'!C65))</f>
        <v>0.51508063640244739</v>
      </c>
      <c r="H12" s="336">
        <f>IF(ISERROR(-'B7-CFlow'!D26/'B5-Capex'!D65),0,(-'B7-CFlow'!D26/'B5-Capex'!D65))</f>
        <v>0</v>
      </c>
      <c r="I12" s="336">
        <f>IF(ISERROR(-'B7-CFlow'!E26/'B5-Capex'!E65),0,(-'B7-CFlow'!E26/'B5-Capex'!E65))</f>
        <v>0</v>
      </c>
      <c r="J12" s="336">
        <f>IF(ISERROR(-'B7-CFlow'!F26/'B5-Capex'!F65),0,(-'B7-CFlow'!F26/'B5-Capex'!F65))</f>
        <v>0</v>
      </c>
      <c r="K12" s="338">
        <f>IF(ISERROR(-'B7-CFlow'!G26/'B5-Capex'!G65),0,(-'B7-CFlow'!G26/'B5-Capex'!G65))</f>
        <v>0</v>
      </c>
    </row>
    <row r="13" spans="1:11" ht="12.75" customHeight="1">
      <c r="A13" s="30" t="s">
        <v>121</v>
      </c>
      <c r="B13" s="136">
        <v>9</v>
      </c>
      <c r="C13" s="136" t="s">
        <v>122</v>
      </c>
      <c r="D13" s="339">
        <v>1.4238708680000001</v>
      </c>
      <c r="E13" s="335">
        <v>0.45291408399999999</v>
      </c>
      <c r="F13" s="335">
        <v>0</v>
      </c>
      <c r="G13" s="336">
        <f>IF(ISERROR('SB4'!F8),0,('SB4'!F8))</f>
        <v>0</v>
      </c>
      <c r="H13" s="336">
        <f>IF(ISERROR('SB4'!G8),0,('SB4'!G8))</f>
        <v>0</v>
      </c>
      <c r="I13" s="336">
        <f>IF(ISERROR('SB4'!H8),0,('SB4'!H8))</f>
        <v>0</v>
      </c>
      <c r="J13" s="337">
        <f>IF(ISERROR('SB4'!I8),0,('SB4'!I8))</f>
        <v>0</v>
      </c>
      <c r="K13" s="338">
        <f>IF(ISERROR('SB4'!J8),0,('SB4'!J8))</f>
        <v>0</v>
      </c>
    </row>
    <row r="14" spans="1:11" ht="12.75" customHeight="1">
      <c r="A14" s="30" t="s">
        <v>123</v>
      </c>
      <c r="B14" s="136">
        <v>10</v>
      </c>
      <c r="C14" s="136" t="s">
        <v>124</v>
      </c>
      <c r="D14" s="339"/>
      <c r="E14" s="335"/>
      <c r="F14" s="335"/>
      <c r="G14" s="336">
        <f>IF(ISERROR(('B4-FinPerf RE'!C21+'B4-FinPerf RE'!C41)/('SB6'!G38+'SB6'!G39)),0,(('B4-FinPerf RE'!C21+'B4-FinPerf RE'!C41)/('SB6'!G38+'SB6'!G39)))</f>
        <v>1.0000000011906292</v>
      </c>
      <c r="H14" s="336">
        <f>IF(ISERROR(('B4-FinPerf RE'!D21+'B4-FinPerf RE'!D41)/('SB6'!H38+'SB6'!H39)),0,(('B4-FinPerf RE'!D21+'B4-FinPerf RE'!D41)/('SB6'!H38+'SB6'!H39)))</f>
        <v>0</v>
      </c>
      <c r="I14" s="336">
        <f>IF(ISERROR(('B4-FinPerf RE'!K21+'B4-FinPerf RE'!K41)/('SB6'!I38+'SB6'!I39)),0,(('B4-FinPerf RE'!K21+'B4-FinPerf RE'!K41)/('SB6'!I38+'SB6'!I39)))</f>
        <v>1.0000000011192633</v>
      </c>
      <c r="J14" s="337">
        <f>IF(ISERROR(('B4-FinPerf RE'!L21+'B4-FinPerf RE'!L41)/('SB6'!J38+'SB6'!J39)),0,(('B4-FinPerf RE'!L21+'B4-FinPerf RE'!L41)/('SB6'!J38+'SB6'!J39)))</f>
        <v>1.0000000055942249</v>
      </c>
      <c r="K14" s="338">
        <f>IF(ISERROR(('B4-FinPerf RE'!M21+'B4-FinPerf RE'!M41)/('SB6'!K38+'SB6'!K39)),0,(('B4-FinPerf RE'!M21+'B4-FinPerf RE'!M41)/('SB6'!K38+'SB6'!K39)))</f>
        <v>1.0000000108186686</v>
      </c>
    </row>
    <row r="15" spans="1:11" ht="12.75" customHeight="1">
      <c r="A15" s="30" t="s">
        <v>125</v>
      </c>
      <c r="B15" s="136">
        <v>11</v>
      </c>
      <c r="C15" s="136" t="s">
        <v>124</v>
      </c>
      <c r="D15" s="339" t="s">
        <v>1997</v>
      </c>
      <c r="E15" s="335">
        <v>0.215</v>
      </c>
      <c r="F15" s="335">
        <v>0.61099999999999999</v>
      </c>
      <c r="G15" s="335"/>
      <c r="H15" s="342"/>
      <c r="I15" s="335"/>
      <c r="J15" s="337">
        <f>IF(ISERROR((SUM('B6-FinPos'!L10:L12)-SUM('B6-FinPos'!K10:K12))/SUM('B6-FinPos'!K10:K12)), 0, (SUM('B6-FinPos'!L10:L12)-SUM('B6-FinPos'!K10:K12))/SUM('B6-FinPos'!K10:K12))</f>
        <v>-1.6262944109912962E-2</v>
      </c>
      <c r="K15" s="338">
        <f>IF(ISERROR((SUM('B6-FinPos'!M10:M12)-SUM('B6-FinPos'!L10:L12))/SUM('B6-FinPos'!L10:L12)), 0, (SUM('B6-FinPos'!M10:M12)-SUM('B6-FinPos'!L10:L12))/SUM('B6-FinPos'!L10:L12))</f>
        <v>-1.2945112395616338E-2</v>
      </c>
    </row>
    <row r="16" spans="1:11" ht="12.75" customHeight="1">
      <c r="A16" s="128" t="s">
        <v>126</v>
      </c>
      <c r="B16" s="73">
        <v>12</v>
      </c>
      <c r="C16" s="73" t="s">
        <v>124</v>
      </c>
      <c r="D16" s="339" t="s">
        <v>1997</v>
      </c>
      <c r="E16" s="335">
        <v>0</v>
      </c>
      <c r="F16" s="335">
        <v>0</v>
      </c>
      <c r="G16" s="335"/>
      <c r="H16" s="342"/>
      <c r="I16" s="335"/>
      <c r="J16" s="337">
        <f>IF(ISERROR(('B6-FinPos'!L17-'B6-FinPos'!K17)/'B6-FinPos'!K17),0,(('B6-FinPos'!L17-'B6-FinPos'!K17)/'B6-FinPos'!K17))</f>
        <v>0</v>
      </c>
      <c r="K16" s="338">
        <f>IF(ISERROR(('B6-FinPos'!M17-'B6-FinPos'!L17)/'B6-FinPos'!L17),0,(('B6-FinPos'!M17-'B6-FinPos'!L17)/'B6-FinPos'!L17))</f>
        <v>0</v>
      </c>
    </row>
    <row r="17" spans="1:11" ht="12.75" customHeight="1">
      <c r="A17" s="128" t="s">
        <v>127</v>
      </c>
      <c r="B17" s="73">
        <v>13</v>
      </c>
      <c r="C17" s="481" t="s">
        <v>128</v>
      </c>
      <c r="D17" s="339">
        <v>6.9000000000000006E-2</v>
      </c>
      <c r="E17" s="335">
        <v>5.8000000000000003E-2</v>
      </c>
      <c r="F17" s="335">
        <v>5.8999999999999997E-2</v>
      </c>
      <c r="G17" s="336">
        <f>IF(ISERROR('B9-Asset'!C71/'B9-Asset'!C67),0,('B9-Asset'!C71/'B9-Asset'!C67))</f>
        <v>5.6176210533167771E-2</v>
      </c>
      <c r="H17" s="336">
        <f>IF(ISERROR('B9-Asset'!D71/'B9-Asset'!D67),0,('B9-Asset'!D71/'B9-Asset'!D67))</f>
        <v>0</v>
      </c>
      <c r="I17" s="336">
        <f>IF(ISERROR('B9-Asset'!K71/'B9-Asset'!K67),0,('B9-Asset'!K71/'B9-Asset'!K67))</f>
        <v>5.4587905435090588E-2</v>
      </c>
      <c r="J17" s="337">
        <f>IF(ISERROR('B9-Asset'!L71/'B9-Asset'!L67),0,('B9-Asset'!L71/'B9-Asset'!L67))</f>
        <v>5.3756029924219649E-2</v>
      </c>
      <c r="K17" s="338">
        <f>IF(ISERROR('B9-Asset'!M71/'B9-Asset'!M67),0,('B9-Asset'!M71/'B9-Asset'!M67))</f>
        <v>5.0665649411969473E-2</v>
      </c>
    </row>
    <row r="18" spans="1:11" ht="12.75" customHeight="1">
      <c r="A18" s="175" t="s">
        <v>129</v>
      </c>
      <c r="B18" s="88">
        <v>14</v>
      </c>
      <c r="C18" s="482" t="str">
        <f>C17</f>
        <v>20(1)(vi)</v>
      </c>
      <c r="D18" s="483">
        <v>0.44</v>
      </c>
      <c r="E18" s="484">
        <v>7.1999999999999995E-2</v>
      </c>
      <c r="F18" s="484">
        <v>0</v>
      </c>
      <c r="G18" s="485">
        <f>IF(ISERROR('B9-Asset'!C22/'B9-Asset'!C51),0,('B9-Asset'!C22/'B9-Asset'!C51))</f>
        <v>8.0299536834082808E-2</v>
      </c>
      <c r="H18" s="485">
        <f>IF(ISERROR('B9-Asset'!D22/'B9-Asset'!D51),0,('B9-Asset'!D22/'B9-Asset'!D51))</f>
        <v>0</v>
      </c>
      <c r="I18" s="485">
        <f>IF(ISERROR('B9-Asset'!K22/'B9-Asset'!K51),0,('B9-Asset'!K22/'B9-Asset'!K51))</f>
        <v>2.3100069664928061E-2</v>
      </c>
      <c r="J18" s="486">
        <f>IF(ISERROR('B9-Asset'!L22/'B9-Asset'!L51),0,('B9-Asset'!L22/'B9-Asset'!L51))</f>
        <v>8.3536772981231674E-2</v>
      </c>
      <c r="K18" s="487">
        <f>IF(ISERROR('B9-Asset'!M22/'B9-Asset'!M51),0,('B9-Asset'!M22/'B9-Asset'!M51))</f>
        <v>6.7676953785135816E-2</v>
      </c>
    </row>
    <row r="19" spans="1:11" ht="12.75" customHeight="1">
      <c r="A19" s="157" t="str">
        <f>head27a</f>
        <v>References</v>
      </c>
      <c r="B19" s="488"/>
      <c r="C19" s="488"/>
      <c r="D19" s="488"/>
      <c r="E19" s="488"/>
      <c r="F19" s="488"/>
      <c r="G19" s="488"/>
      <c r="H19" s="488"/>
      <c r="I19" s="488"/>
      <c r="J19" s="488"/>
      <c r="K19" s="488"/>
    </row>
    <row r="20" spans="1:11" ht="12.75" customHeight="1">
      <c r="A20" s="95" t="s">
        <v>130</v>
      </c>
      <c r="B20" s="488"/>
      <c r="C20" s="488"/>
      <c r="D20" s="488"/>
      <c r="E20" s="488"/>
      <c r="F20" s="488"/>
      <c r="G20" s="488"/>
      <c r="H20" s="488"/>
      <c r="I20" s="488"/>
      <c r="J20" s="488"/>
      <c r="K20" s="488"/>
    </row>
    <row r="21" spans="1:11" ht="12.75" customHeight="1">
      <c r="A21" s="99" t="s">
        <v>131</v>
      </c>
      <c r="B21" s="488"/>
      <c r="C21" s="488"/>
      <c r="D21" s="488"/>
      <c r="E21" s="488"/>
      <c r="F21" s="488"/>
      <c r="G21" s="488"/>
      <c r="H21" s="488"/>
      <c r="I21" s="488"/>
      <c r="J21" s="488"/>
      <c r="K21" s="488"/>
    </row>
    <row r="22" spans="1:11" ht="12.75" customHeight="1">
      <c r="A22" s="99" t="s">
        <v>132</v>
      </c>
      <c r="B22" s="488"/>
      <c r="C22" s="488"/>
      <c r="D22" s="488"/>
      <c r="E22" s="488"/>
      <c r="F22" s="488"/>
      <c r="G22" s="488"/>
      <c r="H22" s="488"/>
      <c r="I22" s="488"/>
      <c r="J22" s="488"/>
      <c r="K22" s="488"/>
    </row>
    <row r="23" spans="1:11" ht="12.75" customHeight="1">
      <c r="A23" s="99" t="s">
        <v>133</v>
      </c>
      <c r="B23" s="488"/>
      <c r="C23" s="488"/>
      <c r="D23" s="488"/>
      <c r="E23" s="488"/>
      <c r="F23" s="488"/>
      <c r="G23" s="488"/>
      <c r="H23" s="488"/>
      <c r="I23" s="488"/>
      <c r="J23" s="488"/>
      <c r="K23" s="488"/>
    </row>
    <row r="24" spans="1:11" ht="12.75" customHeight="1">
      <c r="A24" s="99" t="s">
        <v>134</v>
      </c>
      <c r="B24" s="488"/>
      <c r="C24" s="488"/>
      <c r="D24" s="488"/>
      <c r="E24" s="488"/>
      <c r="F24" s="488"/>
      <c r="G24" s="488"/>
      <c r="H24" s="488"/>
      <c r="I24" s="488"/>
      <c r="J24" s="488"/>
      <c r="K24" s="488"/>
    </row>
    <row r="25" spans="1:11" ht="12.75" customHeight="1">
      <c r="A25" s="99" t="s">
        <v>135</v>
      </c>
      <c r="B25" s="488"/>
      <c r="C25" s="488"/>
      <c r="D25" s="488"/>
      <c r="E25" s="488"/>
      <c r="F25" s="488"/>
      <c r="G25" s="488"/>
      <c r="H25" s="488"/>
      <c r="I25" s="488"/>
      <c r="J25" s="488"/>
      <c r="K25" s="488"/>
    </row>
    <row r="26" spans="1:11" ht="12.75" customHeight="1">
      <c r="A26" s="99" t="s">
        <v>136</v>
      </c>
      <c r="B26" s="488"/>
      <c r="C26" s="488"/>
      <c r="D26" s="488"/>
      <c r="E26" s="488"/>
      <c r="F26" s="488"/>
      <c r="G26" s="488"/>
      <c r="H26" s="488"/>
      <c r="I26" s="488"/>
      <c r="J26" s="488"/>
      <c r="K26" s="488"/>
    </row>
    <row r="27" spans="1:11" ht="12.75" customHeight="1">
      <c r="A27" s="99" t="s">
        <v>137</v>
      </c>
      <c r="B27" s="488"/>
      <c r="C27" s="488"/>
      <c r="D27" s="488"/>
      <c r="E27" s="488"/>
      <c r="F27" s="488"/>
      <c r="G27" s="488"/>
      <c r="H27" s="488"/>
      <c r="I27" s="488"/>
      <c r="J27" s="488"/>
      <c r="K27" s="488"/>
    </row>
    <row r="28" spans="1:11" ht="12.75" customHeight="1">
      <c r="A28" s="99" t="s">
        <v>138</v>
      </c>
      <c r="B28" s="488"/>
      <c r="C28" s="488"/>
      <c r="D28" s="488"/>
      <c r="E28" s="488"/>
      <c r="F28" s="488"/>
      <c r="G28" s="488"/>
      <c r="H28" s="488"/>
      <c r="I28" s="488"/>
      <c r="J28" s="488"/>
      <c r="K28" s="488"/>
    </row>
    <row r="29" spans="1:11" ht="12.75" customHeight="1">
      <c r="A29" s="99" t="s">
        <v>139</v>
      </c>
      <c r="B29" s="488"/>
      <c r="C29" s="488"/>
      <c r="D29" s="488"/>
      <c r="E29" s="488"/>
      <c r="F29" s="488"/>
      <c r="G29" s="488"/>
      <c r="H29" s="488"/>
      <c r="I29" s="488"/>
      <c r="J29" s="488"/>
      <c r="K29" s="488"/>
    </row>
    <row r="30" spans="1:11" ht="12.75" customHeight="1">
      <c r="A30" s="99" t="s">
        <v>140</v>
      </c>
      <c r="B30" s="488"/>
      <c r="C30" s="488"/>
      <c r="D30" s="488"/>
      <c r="E30" s="488"/>
      <c r="F30" s="488"/>
      <c r="G30" s="488"/>
      <c r="H30" s="488"/>
      <c r="I30" s="488"/>
      <c r="J30" s="488"/>
      <c r="K30" s="488"/>
    </row>
    <row r="31" spans="1:11" ht="12.75" customHeight="1">
      <c r="A31" s="99" t="s">
        <v>141</v>
      </c>
      <c r="B31" s="488"/>
      <c r="C31" s="488"/>
      <c r="D31" s="488"/>
      <c r="E31" s="488"/>
      <c r="F31" s="488"/>
      <c r="G31" s="488"/>
      <c r="H31" s="488"/>
      <c r="I31" s="488"/>
      <c r="J31" s="488"/>
      <c r="K31" s="488"/>
    </row>
    <row r="32" spans="1:11" ht="12.75" customHeight="1">
      <c r="A32" s="99" t="s">
        <v>142</v>
      </c>
      <c r="B32" s="488"/>
      <c r="C32" s="488"/>
      <c r="D32" s="488"/>
      <c r="E32" s="488"/>
      <c r="F32" s="488"/>
      <c r="G32" s="488"/>
      <c r="H32" s="488"/>
      <c r="I32" s="488"/>
      <c r="J32" s="488"/>
      <c r="K32" s="488"/>
    </row>
    <row r="33" spans="1:16" ht="12.75" customHeight="1">
      <c r="A33" s="99" t="s">
        <v>143</v>
      </c>
      <c r="B33" s="488"/>
      <c r="C33" s="488"/>
      <c r="D33" s="488"/>
      <c r="E33" s="488"/>
      <c r="F33" s="488"/>
      <c r="G33" s="488"/>
      <c r="H33" s="488"/>
      <c r="I33" s="488"/>
      <c r="J33" s="488"/>
      <c r="K33" s="488"/>
    </row>
    <row r="34" spans="1:16" ht="12.75" customHeight="1">
      <c r="A34" s="99"/>
      <c r="B34" s="488"/>
      <c r="C34" s="488"/>
      <c r="D34" s="488"/>
      <c r="E34" s="488"/>
      <c r="F34" s="488"/>
      <c r="G34" s="488"/>
      <c r="H34" s="488"/>
      <c r="I34" s="488"/>
      <c r="J34" s="488"/>
      <c r="K34" s="488"/>
    </row>
    <row r="35" spans="1:16" ht="12.75" customHeight="1">
      <c r="A35" s="99" t="s">
        <v>144</v>
      </c>
      <c r="B35" s="488"/>
      <c r="C35" s="488"/>
      <c r="D35" s="488"/>
      <c r="E35" s="488"/>
      <c r="F35" s="488"/>
      <c r="G35" s="827">
        <v>0.06</v>
      </c>
      <c r="H35" s="828">
        <v>0.06</v>
      </c>
      <c r="I35" s="828">
        <v>0.06</v>
      </c>
      <c r="J35" s="828">
        <v>0.06</v>
      </c>
      <c r="K35" s="829">
        <v>0.06</v>
      </c>
    </row>
    <row r="36" spans="1:16" ht="12.75" customHeight="1">
      <c r="A36" s="489" t="s">
        <v>145</v>
      </c>
      <c r="B36" s="490"/>
      <c r="C36" s="490"/>
      <c r="D36" s="490"/>
      <c r="E36" s="490"/>
      <c r="F36" s="84"/>
      <c r="G36" s="351">
        <f>IF(ISERROR(SUM('B4-FinPerf RE'!C7:C13)),0,(SUM('B4-FinPerf RE'!C7:C13)))</f>
        <v>457135773</v>
      </c>
      <c r="H36" s="351">
        <f>IF(ISERROR(SUM('B4-FinPerf RE'!D7:D13)),0,(SUM('B4-FinPerf RE'!D7:D13)))</f>
        <v>0</v>
      </c>
      <c r="I36" s="351">
        <f>IF(ISERROR(SUM('B4-FinPerf RE'!K7:K13)),0,(SUM('B4-FinPerf RE'!K7:K13)))</f>
        <v>457135773</v>
      </c>
      <c r="J36" s="351">
        <f>IF(ISERROR(SUM('B4-FinPerf RE'!L7:L13)),0,(SUM('B4-FinPerf RE'!L7:L13)))</f>
        <v>479535425.69999999</v>
      </c>
      <c r="K36" s="351">
        <f>IF(ISERROR(SUM('B4-FinPerf RE'!M7:M13)),0,(SUM('B4-FinPerf RE'!M7:M13)))</f>
        <v>503032661.16999996</v>
      </c>
    </row>
    <row r="37" spans="1:16" ht="12.75" customHeight="1">
      <c r="A37" s="489" t="s">
        <v>146</v>
      </c>
      <c r="B37" s="120"/>
      <c r="C37" s="120"/>
      <c r="D37" s="352"/>
      <c r="E37" s="352"/>
      <c r="F37" s="352"/>
      <c r="G37" s="936">
        <v>421444000</v>
      </c>
      <c r="H37" s="351"/>
      <c r="I37" s="351">
        <f>G37</f>
        <v>421444000</v>
      </c>
      <c r="J37" s="351">
        <f>I36</f>
        <v>457135773</v>
      </c>
      <c r="K37" s="351">
        <f>J36</f>
        <v>479535425.69999999</v>
      </c>
      <c r="O37" s="168"/>
      <c r="P37" s="168"/>
    </row>
    <row r="38" spans="1:16" ht="12.75" customHeight="1">
      <c r="A38" s="491" t="s">
        <v>147</v>
      </c>
      <c r="B38" s="120"/>
      <c r="C38" s="120"/>
      <c r="D38" s="932">
        <v>49767</v>
      </c>
      <c r="E38" s="933">
        <v>594398</v>
      </c>
      <c r="F38" s="933"/>
      <c r="G38" s="933"/>
      <c r="H38" s="933"/>
      <c r="I38" s="933"/>
      <c r="J38" s="933"/>
      <c r="K38" s="939"/>
      <c r="O38" s="168"/>
      <c r="P38" s="168"/>
    </row>
    <row r="39" spans="1:16" ht="12.75" customHeight="1">
      <c r="A39" s="491" t="s">
        <v>148</v>
      </c>
      <c r="B39" s="120"/>
      <c r="C39" s="120"/>
      <c r="D39" s="931">
        <v>182165902</v>
      </c>
      <c r="E39" s="929">
        <v>234660000</v>
      </c>
      <c r="F39" s="929">
        <v>278658080</v>
      </c>
      <c r="G39" s="935">
        <v>319159000</v>
      </c>
      <c r="H39" s="935"/>
      <c r="I39" s="935">
        <v>339509000</v>
      </c>
      <c r="J39" s="935">
        <v>355724000</v>
      </c>
      <c r="K39" s="930">
        <v>416872000</v>
      </c>
      <c r="O39" s="168"/>
      <c r="P39" s="168"/>
    </row>
    <row r="40" spans="1:16" ht="12.75" customHeight="1">
      <c r="A40" s="491" t="s">
        <v>149</v>
      </c>
      <c r="B40" s="120"/>
      <c r="C40" s="120"/>
      <c r="D40" s="931">
        <v>330545375</v>
      </c>
      <c r="E40" s="929">
        <v>412213000</v>
      </c>
      <c r="F40" s="938">
        <v>364761782</v>
      </c>
      <c r="G40" s="351">
        <f>'B7-CFlow'!C8+'B7-CFlow'!C22</f>
        <v>939801047</v>
      </c>
      <c r="H40" s="351">
        <f>'B7-CFlow'!D8+'B7-CFlow'!D22</f>
        <v>0</v>
      </c>
      <c r="I40" s="351">
        <f>'B7-CFlow'!K8+'B7-CFlow'!K22</f>
        <v>601157047</v>
      </c>
      <c r="J40" s="351">
        <f>'B7-CFlow'!L8+'B7-CFlow'!L22</f>
        <v>594652000</v>
      </c>
      <c r="K40" s="351">
        <f>'B7-CFlow'!M8+'B7-CFlow'!M22</f>
        <v>623311321</v>
      </c>
      <c r="O40" s="168"/>
      <c r="P40" s="168"/>
    </row>
    <row r="41" spans="1:16" ht="12.75" customHeight="1">
      <c r="A41" s="491" t="s">
        <v>150</v>
      </c>
      <c r="B41" s="120"/>
      <c r="C41" s="120"/>
      <c r="D41" s="931">
        <v>347290000</v>
      </c>
      <c r="E41" s="929">
        <v>382353000</v>
      </c>
      <c r="F41" s="938">
        <v>461872000</v>
      </c>
      <c r="G41" s="351">
        <f>SUM('B4-FinPerf RE'!C7:C14)+'B4-FinPerf RE'!C16+SUM('B4-FinPerf RE'!C18:C20)+'B4-FinPerf RE'!C22</f>
        <v>526601462</v>
      </c>
      <c r="H41" s="351">
        <f>SUM('B4-FinPerf RE'!D7:D14)+'B4-FinPerf RE'!D16+SUM('B4-FinPerf RE'!D18:D20)+'B4-FinPerf RE'!D22</f>
        <v>0</v>
      </c>
      <c r="I41" s="351">
        <f>SUM('B4-FinPerf RE'!K7:K14)+'B4-FinPerf RE'!K16+SUM('B4-FinPerf RE'!K18:K20)+'B4-FinPerf RE'!K22</f>
        <v>565349076</v>
      </c>
      <c r="J41" s="351">
        <f>SUM('B4-FinPerf RE'!L7:L14)+'B4-FinPerf RE'!L16+SUM('B4-FinPerf RE'!L18:L20)+'B4-FinPerf RE'!L22</f>
        <v>558904934.70000005</v>
      </c>
      <c r="K41" s="351">
        <f>SUM('B4-FinPerf RE'!M7:M14)+'B4-FinPerf RE'!M16+SUM('B4-FinPerf RE'!M18:M20)+'B4-FinPerf RE'!M22</f>
        <v>586472775.16999996</v>
      </c>
      <c r="O41" s="168"/>
      <c r="P41" s="168"/>
    </row>
    <row r="42" spans="1:16" ht="12.75" customHeight="1">
      <c r="A42" s="491" t="s">
        <v>151</v>
      </c>
      <c r="B42" s="120"/>
      <c r="C42" s="120"/>
      <c r="D42" s="934">
        <v>19700000</v>
      </c>
      <c r="E42" s="935">
        <v>28267000</v>
      </c>
      <c r="F42" s="935">
        <v>97462000</v>
      </c>
      <c r="G42" s="937">
        <v>-104647000</v>
      </c>
      <c r="H42" s="937"/>
      <c r="I42" s="937">
        <v>-104647000</v>
      </c>
      <c r="J42" s="351">
        <f>(SUM('B6-FinPos'!L10:L12)+'B6-FinPos'!L17)-(SUM('B6-FinPos'!K10:K12)+'B6-FinPos'!K17)</f>
        <v>-2477050</v>
      </c>
      <c r="K42" s="351">
        <f>(SUM('B6-FinPos'!M10:M12)+'B6-FinPos'!M17)-(SUM('B6-FinPos'!L10:L12)+'B6-FinPos'!L17)</f>
        <v>-1939637</v>
      </c>
      <c r="O42" s="168"/>
      <c r="P42" s="168"/>
    </row>
    <row r="43" spans="1:16" ht="12.75" customHeight="1">
      <c r="A43" s="491"/>
      <c r="B43" s="120"/>
      <c r="C43" s="120"/>
      <c r="D43" s="352"/>
      <c r="E43" s="352"/>
      <c r="F43" s="352"/>
      <c r="G43" s="352"/>
      <c r="H43" s="352"/>
      <c r="I43" s="352"/>
      <c r="J43" s="352"/>
      <c r="K43" s="352"/>
      <c r="O43" s="168"/>
      <c r="P43" s="168"/>
    </row>
    <row r="44" spans="1:16" ht="12.75" customHeight="1">
      <c r="A44" s="491"/>
      <c r="B44" s="120"/>
      <c r="C44" s="120"/>
      <c r="D44" s="352"/>
      <c r="E44" s="352"/>
      <c r="F44" s="352"/>
      <c r="G44" s="352"/>
      <c r="H44" s="352"/>
      <c r="I44" s="352"/>
      <c r="J44" s="352"/>
      <c r="K44" s="352"/>
      <c r="O44" s="168"/>
      <c r="P44" s="168"/>
    </row>
    <row r="45" spans="1:16" ht="12.75" customHeight="1">
      <c r="A45" s="491"/>
      <c r="B45" s="120"/>
      <c r="C45" s="120"/>
      <c r="D45" s="352"/>
      <c r="E45" s="352"/>
      <c r="F45" s="352"/>
      <c r="G45" s="352"/>
      <c r="H45" s="352"/>
      <c r="I45" s="352"/>
      <c r="J45" s="352"/>
      <c r="K45" s="352"/>
      <c r="O45" s="168"/>
      <c r="P45" s="168"/>
    </row>
    <row r="46" spans="1:16" ht="12.75" customHeight="1">
      <c r="A46" s="491"/>
      <c r="B46" s="120"/>
      <c r="C46" s="120"/>
      <c r="D46" s="492"/>
      <c r="E46" s="492"/>
      <c r="F46" s="492"/>
      <c r="G46" s="492"/>
      <c r="H46" s="492"/>
      <c r="I46" s="492"/>
      <c r="J46" s="492"/>
      <c r="K46" s="492"/>
    </row>
    <row r="47" spans="1:16" ht="12.75" customHeight="1">
      <c r="A47" s="491"/>
      <c r="B47" s="120"/>
      <c r="C47" s="120"/>
      <c r="D47" s="492"/>
      <c r="E47" s="492"/>
      <c r="F47" s="492"/>
      <c r="G47" s="492"/>
      <c r="H47" s="492"/>
      <c r="I47" s="492"/>
      <c r="J47" s="492"/>
      <c r="K47" s="492"/>
    </row>
    <row r="48" spans="1:16" ht="12.75" customHeight="1">
      <c r="A48" s="491"/>
      <c r="B48" s="120"/>
      <c r="C48" s="120"/>
      <c r="D48" s="492"/>
      <c r="E48" s="492"/>
      <c r="F48" s="492"/>
      <c r="G48" s="492"/>
      <c r="H48" s="492"/>
      <c r="I48" s="492"/>
      <c r="J48" s="492"/>
      <c r="K48" s="492"/>
    </row>
    <row r="49" spans="1:11" ht="12.75" customHeight="1">
      <c r="A49" s="491"/>
      <c r="B49" s="120"/>
      <c r="C49" s="120"/>
      <c r="D49" s="492"/>
      <c r="E49" s="492"/>
      <c r="F49" s="492"/>
      <c r="G49" s="492"/>
      <c r="H49" s="492"/>
      <c r="I49" s="492"/>
      <c r="J49" s="492"/>
      <c r="K49" s="492"/>
    </row>
    <row r="50" spans="1:11" ht="12.75" customHeight="1">
      <c r="A50" s="491"/>
      <c r="B50" s="120"/>
      <c r="C50" s="120"/>
      <c r="D50" s="492"/>
      <c r="E50" s="492"/>
      <c r="F50" s="492"/>
      <c r="G50" s="492"/>
      <c r="H50" s="492"/>
      <c r="I50" s="492"/>
      <c r="J50" s="492"/>
      <c r="K50" s="492"/>
    </row>
    <row r="51" spans="1:11" ht="12.75" customHeight="1">
      <c r="A51" s="491"/>
      <c r="B51" s="120"/>
      <c r="C51" s="120"/>
      <c r="D51" s="492"/>
      <c r="E51" s="492"/>
      <c r="F51" s="492"/>
      <c r="G51" s="492"/>
      <c r="H51" s="492"/>
      <c r="I51" s="492"/>
      <c r="J51" s="492"/>
      <c r="K51" s="492"/>
    </row>
    <row r="52" spans="1:11" ht="12.75" customHeight="1">
      <c r="A52" s="491"/>
      <c r="B52" s="120"/>
      <c r="C52" s="120"/>
      <c r="D52" s="492"/>
      <c r="E52" s="492"/>
      <c r="F52" s="492"/>
      <c r="G52" s="492"/>
      <c r="H52" s="492"/>
      <c r="I52" s="492"/>
      <c r="J52" s="492"/>
      <c r="K52" s="492"/>
    </row>
    <row r="53" spans="1:11" ht="12.75" customHeight="1">
      <c r="A53" s="491"/>
      <c r="B53" s="120"/>
      <c r="C53" s="120"/>
      <c r="D53" s="492"/>
      <c r="E53" s="492"/>
      <c r="F53" s="492"/>
      <c r="G53" s="492"/>
      <c r="H53" s="492"/>
      <c r="I53" s="492"/>
      <c r="J53" s="492"/>
      <c r="K53" s="492"/>
    </row>
    <row r="54" spans="1:11" ht="12.75" customHeight="1">
      <c r="A54" s="491"/>
      <c r="B54" s="120"/>
      <c r="C54" s="120"/>
      <c r="D54" s="492"/>
      <c r="E54" s="492"/>
      <c r="F54" s="492"/>
      <c r="G54" s="492"/>
      <c r="H54" s="492"/>
      <c r="I54" s="492"/>
      <c r="J54" s="492"/>
      <c r="K54" s="492"/>
    </row>
    <row r="55" spans="1:11" ht="12.75" customHeight="1">
      <c r="A55" s="491"/>
      <c r="B55" s="120"/>
      <c r="C55" s="120"/>
      <c r="D55" s="492"/>
      <c r="E55" s="492"/>
      <c r="F55" s="492"/>
      <c r="G55" s="492"/>
      <c r="H55" s="492"/>
      <c r="I55" s="492"/>
      <c r="J55" s="492"/>
      <c r="K55" s="492"/>
    </row>
    <row r="56" spans="1:11" ht="12.75" customHeight="1">
      <c r="A56" s="491"/>
      <c r="B56" s="810"/>
      <c r="C56" s="120"/>
      <c r="D56" s="492"/>
      <c r="E56" s="492"/>
      <c r="F56" s="492"/>
      <c r="G56" s="492"/>
      <c r="H56" s="492"/>
      <c r="I56" s="492"/>
      <c r="J56" s="492"/>
      <c r="K56" s="492"/>
    </row>
    <row r="57" spans="1:11" ht="12.75" customHeight="1">
      <c r="A57" s="489"/>
      <c r="B57" s="120"/>
      <c r="C57" s="120"/>
      <c r="D57" s="492"/>
      <c r="E57" s="492"/>
      <c r="F57" s="492"/>
      <c r="G57" s="492"/>
      <c r="H57" s="492"/>
      <c r="I57" s="492"/>
      <c r="J57" s="492"/>
      <c r="K57" s="492"/>
    </row>
    <row r="58" spans="1:11" ht="12.75" customHeight="1">
      <c r="A58" s="489"/>
      <c r="B58" s="120"/>
      <c r="C58" s="120"/>
      <c r="D58" s="492"/>
      <c r="E58" s="492"/>
      <c r="F58" s="492"/>
      <c r="G58" s="492"/>
      <c r="H58" s="492"/>
      <c r="I58" s="492"/>
      <c r="J58" s="492"/>
      <c r="K58" s="492"/>
    </row>
    <row r="59" spans="1:11" ht="12.75" customHeight="1">
      <c r="A59" s="489"/>
      <c r="B59" s="120"/>
      <c r="C59" s="493"/>
      <c r="D59" s="492"/>
      <c r="E59" s="492"/>
      <c r="F59" s="492"/>
      <c r="G59" s="492"/>
      <c r="H59" s="492"/>
      <c r="I59" s="492"/>
      <c r="J59" s="492"/>
      <c r="K59" s="492"/>
    </row>
    <row r="60" spans="1:11" ht="12.75" customHeight="1">
      <c r="A60" s="489"/>
      <c r="B60" s="120"/>
      <c r="C60" s="493"/>
      <c r="D60" s="492"/>
      <c r="E60" s="492"/>
      <c r="F60" s="492"/>
      <c r="G60" s="492"/>
      <c r="H60" s="492"/>
      <c r="I60" s="492"/>
      <c r="J60" s="492"/>
      <c r="K60" s="492"/>
    </row>
    <row r="61" spans="1:11" ht="12.75" customHeight="1">
      <c r="A61" s="489"/>
      <c r="B61" s="120"/>
      <c r="C61" s="120"/>
      <c r="D61" s="120"/>
      <c r="E61" s="120"/>
      <c r="F61" s="84"/>
      <c r="G61" s="84"/>
      <c r="H61" s="84"/>
      <c r="I61" s="84"/>
      <c r="J61" s="84"/>
      <c r="K61" s="84"/>
    </row>
    <row r="62" spans="1:11" ht="12.75" customHeight="1">
      <c r="A62" s="494"/>
      <c r="B62" s="120"/>
      <c r="C62" s="120"/>
      <c r="D62" s="120"/>
      <c r="E62" s="120"/>
      <c r="F62" s="84"/>
      <c r="G62" s="84"/>
      <c r="H62" s="84"/>
      <c r="I62" s="84"/>
      <c r="J62" s="84"/>
      <c r="K62" s="84"/>
    </row>
    <row r="63" spans="1:11" ht="12.75" customHeight="1">
      <c r="A63" s="489"/>
      <c r="B63" s="120"/>
      <c r="C63" s="120"/>
      <c r="D63" s="352"/>
      <c r="E63" s="352"/>
      <c r="F63" s="352"/>
      <c r="G63" s="352"/>
      <c r="H63" s="352"/>
      <c r="I63" s="352"/>
      <c r="J63" s="352"/>
      <c r="K63" s="352"/>
    </row>
    <row r="64" spans="1:11" ht="12.75" customHeight="1">
      <c r="A64" s="489"/>
      <c r="B64" s="120"/>
      <c r="C64" s="120"/>
      <c r="D64" s="352"/>
      <c r="E64" s="352"/>
      <c r="F64" s="352"/>
      <c r="G64" s="352"/>
      <c r="H64" s="352"/>
      <c r="I64" s="352"/>
      <c r="J64" s="352"/>
      <c r="K64" s="352"/>
    </row>
    <row r="65" spans="1:11" ht="12.75" customHeight="1">
      <c r="A65" s="489"/>
      <c r="B65" s="120"/>
      <c r="C65" s="120"/>
      <c r="D65" s="492"/>
      <c r="E65" s="492"/>
      <c r="F65" s="492"/>
      <c r="G65" s="492"/>
      <c r="H65" s="492"/>
      <c r="I65" s="492"/>
      <c r="J65" s="492"/>
      <c r="K65" s="492"/>
    </row>
    <row r="66" spans="1:11" ht="12.75" customHeight="1">
      <c r="A66" s="489"/>
      <c r="B66" s="120"/>
      <c r="C66" s="120"/>
      <c r="D66" s="492"/>
      <c r="E66" s="492"/>
      <c r="F66" s="492"/>
      <c r="G66" s="492"/>
      <c r="H66" s="492"/>
      <c r="I66" s="492"/>
      <c r="J66" s="492"/>
      <c r="K66" s="492"/>
    </row>
    <row r="67" spans="1:11" ht="12.75" customHeight="1">
      <c r="A67" s="489"/>
      <c r="B67" s="120"/>
      <c r="C67" s="120"/>
      <c r="D67" s="492"/>
      <c r="E67" s="492"/>
      <c r="F67" s="492"/>
      <c r="G67" s="492"/>
      <c r="H67" s="492"/>
      <c r="I67" s="492"/>
      <c r="J67" s="492"/>
      <c r="K67" s="492"/>
    </row>
    <row r="68" spans="1:11" ht="12.75" customHeight="1">
      <c r="A68" s="489"/>
      <c r="B68" s="120"/>
      <c r="C68" s="120"/>
      <c r="D68" s="492"/>
      <c r="E68" s="492"/>
      <c r="F68" s="492"/>
      <c r="G68" s="492"/>
      <c r="H68" s="492"/>
      <c r="I68" s="492"/>
      <c r="J68" s="492"/>
      <c r="K68" s="492"/>
    </row>
    <row r="69" spans="1:11" ht="12.75" customHeight="1">
      <c r="A69" s="489"/>
      <c r="B69" s="120"/>
      <c r="C69" s="120"/>
      <c r="D69" s="492"/>
      <c r="E69" s="492"/>
      <c r="F69" s="492"/>
      <c r="G69" s="492"/>
      <c r="H69" s="492"/>
      <c r="I69" s="492"/>
      <c r="J69" s="492"/>
      <c r="K69" s="492"/>
    </row>
    <row r="70" spans="1:11" ht="12.75" customHeight="1">
      <c r="A70" s="489"/>
      <c r="B70" s="120"/>
      <c r="C70" s="120"/>
      <c r="D70" s="492"/>
      <c r="E70" s="492"/>
      <c r="F70" s="492"/>
      <c r="G70" s="492"/>
      <c r="H70" s="492"/>
      <c r="I70" s="492"/>
      <c r="J70" s="492"/>
      <c r="K70" s="492"/>
    </row>
    <row r="71" spans="1:11" ht="12.75" customHeight="1">
      <c r="A71" s="489" t="s">
        <v>152</v>
      </c>
      <c r="B71" s="120"/>
      <c r="C71" s="120"/>
      <c r="D71" s="492"/>
      <c r="E71" s="492"/>
      <c r="F71" s="492"/>
      <c r="G71" s="492"/>
      <c r="H71" s="492"/>
      <c r="I71" s="492"/>
      <c r="J71" s="492"/>
      <c r="K71" s="492"/>
    </row>
    <row r="72" spans="1:11" ht="12.75" customHeight="1">
      <c r="A72" s="489"/>
      <c r="B72" s="120"/>
      <c r="C72" s="120"/>
      <c r="D72" s="120"/>
      <c r="E72" s="120"/>
      <c r="F72" s="84"/>
      <c r="G72" s="84"/>
      <c r="H72" s="84"/>
      <c r="I72" s="84"/>
      <c r="J72" s="84"/>
      <c r="K72" s="84"/>
    </row>
    <row r="73" spans="1:11" ht="12.75" customHeight="1">
      <c r="A73" s="48"/>
      <c r="B73" s="120"/>
      <c r="C73" s="120"/>
      <c r="D73" s="120"/>
      <c r="E73" s="120"/>
      <c r="F73" s="48"/>
      <c r="G73" s="48"/>
      <c r="H73" s="48"/>
      <c r="I73" s="48"/>
      <c r="J73" s="48"/>
      <c r="K73" s="48"/>
    </row>
    <row r="74" spans="1:11" ht="12.75" customHeight="1">
      <c r="A74" s="48"/>
      <c r="B74" s="120"/>
      <c r="C74" s="120"/>
      <c r="D74" s="120"/>
      <c r="E74" s="120"/>
      <c r="F74" s="48"/>
      <c r="G74" s="48"/>
      <c r="H74" s="48"/>
      <c r="I74" s="48"/>
      <c r="J74" s="48"/>
      <c r="K74" s="48"/>
    </row>
    <row r="75" spans="1:11" ht="12.75" customHeight="1">
      <c r="A75" s="48"/>
      <c r="B75" s="120"/>
      <c r="C75" s="120"/>
      <c r="D75" s="120"/>
      <c r="E75" s="120"/>
      <c r="F75" s="48"/>
      <c r="G75" s="48"/>
      <c r="H75" s="48"/>
      <c r="I75" s="48"/>
      <c r="J75" s="48"/>
      <c r="K75" s="48"/>
    </row>
    <row r="76" spans="1:11" ht="12.75" customHeight="1">
      <c r="A76" s="48"/>
      <c r="B76" s="120"/>
      <c r="C76" s="120"/>
      <c r="D76" s="120"/>
      <c r="E76" s="120"/>
      <c r="F76" s="48"/>
      <c r="G76" s="48"/>
      <c r="H76" s="48"/>
      <c r="I76" s="48"/>
      <c r="J76" s="48"/>
      <c r="K76" s="48"/>
    </row>
    <row r="77" spans="1:11" ht="12.75" customHeight="1">
      <c r="A77" s="48"/>
      <c r="B77" s="120"/>
      <c r="C77" s="120"/>
      <c r="D77" s="120"/>
      <c r="E77" s="120"/>
      <c r="F77" s="48"/>
      <c r="G77" s="48"/>
      <c r="H77" s="48"/>
      <c r="I77" s="48"/>
      <c r="J77" s="48"/>
      <c r="K77" s="48"/>
    </row>
    <row r="78" spans="1:11" ht="12.75" customHeight="1">
      <c r="A78" s="48"/>
      <c r="B78" s="120"/>
      <c r="C78" s="120"/>
      <c r="D78" s="120"/>
      <c r="E78" s="120"/>
      <c r="F78" s="48"/>
      <c r="G78" s="48"/>
      <c r="H78" s="48"/>
      <c r="I78" s="48"/>
      <c r="J78" s="48"/>
      <c r="K78" s="48"/>
    </row>
    <row r="79" spans="1:11" ht="12.75" customHeight="1">
      <c r="A79" s="48"/>
      <c r="B79" s="120"/>
      <c r="C79" s="120"/>
      <c r="D79" s="120"/>
      <c r="E79" s="120"/>
      <c r="F79" s="48"/>
      <c r="G79" s="48"/>
      <c r="H79" s="48"/>
      <c r="I79" s="48"/>
      <c r="J79" s="48"/>
      <c r="K79" s="48"/>
    </row>
    <row r="80" spans="1:11" ht="12.75" customHeight="1">
      <c r="A80" s="48"/>
      <c r="B80" s="120"/>
      <c r="C80" s="120"/>
      <c r="D80" s="120"/>
      <c r="E80" s="120"/>
      <c r="F80" s="48"/>
      <c r="G80" s="48"/>
      <c r="H80" s="48"/>
      <c r="I80" s="48"/>
      <c r="J80" s="48"/>
      <c r="K80" s="48"/>
    </row>
    <row r="81" spans="1:11" ht="12.75" customHeight="1">
      <c r="A81" s="48"/>
      <c r="B81" s="120"/>
      <c r="C81" s="120"/>
      <c r="D81" s="120"/>
      <c r="E81" s="120"/>
      <c r="F81" s="48"/>
      <c r="G81" s="48"/>
      <c r="H81" s="48"/>
      <c r="I81" s="48"/>
      <c r="J81" s="48"/>
      <c r="K81" s="48"/>
    </row>
    <row r="82" spans="1:11" ht="12.75" customHeight="1">
      <c r="A82" s="48"/>
      <c r="B82" s="120"/>
      <c r="C82" s="120"/>
      <c r="D82" s="120"/>
      <c r="E82" s="120"/>
      <c r="F82" s="48"/>
      <c r="G82" s="48"/>
      <c r="H82" s="48"/>
      <c r="I82" s="48"/>
      <c r="J82" s="48"/>
      <c r="K82" s="48"/>
    </row>
    <row r="83" spans="1:11" ht="12.75" customHeight="1">
      <c r="A83" s="48"/>
      <c r="B83" s="120"/>
      <c r="C83" s="120"/>
      <c r="D83" s="120"/>
      <c r="E83" s="120"/>
      <c r="F83" s="48"/>
      <c r="G83" s="48"/>
      <c r="H83" s="48"/>
      <c r="I83" s="48"/>
      <c r="J83" s="48"/>
      <c r="K83" s="48"/>
    </row>
    <row r="84" spans="1:11" ht="12.75" customHeight="1">
      <c r="A84" s="48"/>
      <c r="B84" s="120"/>
      <c r="C84" s="120"/>
      <c r="D84" s="120"/>
      <c r="E84" s="120"/>
      <c r="F84" s="48"/>
      <c r="G84" s="48"/>
      <c r="H84" s="48"/>
      <c r="I84" s="48"/>
      <c r="J84" s="48"/>
      <c r="K84" s="48"/>
    </row>
    <row r="85" spans="1:11" ht="12.75" customHeight="1">
      <c r="A85" s="48"/>
      <c r="B85" s="120"/>
      <c r="C85" s="120"/>
      <c r="D85" s="120"/>
      <c r="E85" s="120"/>
      <c r="F85" s="48"/>
      <c r="G85" s="48"/>
      <c r="H85" s="48"/>
      <c r="I85" s="48"/>
      <c r="J85" s="48"/>
      <c r="K85" s="48"/>
    </row>
    <row r="86" spans="1:11" ht="12.75" customHeight="1">
      <c r="A86" s="48"/>
      <c r="B86" s="120"/>
      <c r="C86" s="120"/>
      <c r="D86" s="120"/>
      <c r="E86" s="120"/>
      <c r="F86" s="48"/>
      <c r="G86" s="48"/>
      <c r="H86" s="48"/>
      <c r="I86" s="48"/>
      <c r="J86" s="48"/>
      <c r="K86" s="48"/>
    </row>
    <row r="87" spans="1:11" ht="12.75" customHeight="1">
      <c r="A87" s="48"/>
      <c r="B87" s="120"/>
      <c r="C87" s="120"/>
      <c r="D87" s="120"/>
      <c r="E87" s="120"/>
      <c r="F87" s="48"/>
      <c r="G87" s="48"/>
      <c r="H87" s="48"/>
      <c r="I87" s="48"/>
      <c r="J87" s="48"/>
      <c r="K87" s="48"/>
    </row>
    <row r="88" spans="1:11" ht="12.75" customHeight="1">
      <c r="A88" s="48"/>
      <c r="B88" s="120"/>
      <c r="C88" s="120"/>
      <c r="D88" s="120"/>
      <c r="E88" s="120"/>
      <c r="F88" s="48"/>
      <c r="G88" s="48"/>
      <c r="H88" s="48"/>
      <c r="I88" s="48"/>
      <c r="J88" s="48"/>
      <c r="K88" s="48"/>
    </row>
    <row r="89" spans="1:11" ht="12.75" customHeight="1">
      <c r="A89" s="48"/>
      <c r="B89" s="120"/>
      <c r="C89" s="120"/>
      <c r="D89" s="120"/>
      <c r="E89" s="120"/>
      <c r="F89" s="48"/>
      <c r="G89" s="48"/>
      <c r="H89" s="48"/>
      <c r="I89" s="48"/>
      <c r="J89" s="48"/>
      <c r="K89" s="48"/>
    </row>
    <row r="90" spans="1:11" ht="12.75" customHeight="1">
      <c r="A90" s="48"/>
      <c r="B90" s="120"/>
      <c r="C90" s="120"/>
      <c r="D90" s="120"/>
      <c r="E90" s="120"/>
      <c r="F90" s="48"/>
      <c r="G90" s="48"/>
      <c r="H90" s="48"/>
      <c r="I90" s="48"/>
      <c r="J90" s="48"/>
      <c r="K90" s="48"/>
    </row>
    <row r="91" spans="1:11" ht="12.75" customHeight="1">
      <c r="A91" s="48"/>
      <c r="B91" s="120"/>
      <c r="C91" s="120"/>
      <c r="D91" s="120"/>
      <c r="E91" s="120"/>
      <c r="F91" s="48"/>
      <c r="G91" s="48"/>
      <c r="H91" s="48"/>
      <c r="I91" s="48"/>
      <c r="J91" s="48"/>
      <c r="K91" s="48"/>
    </row>
    <row r="92" spans="1:11" ht="12.75" customHeight="1">
      <c r="A92" s="48"/>
      <c r="B92" s="120"/>
      <c r="C92" s="120"/>
      <c r="D92" s="120"/>
      <c r="E92" s="120"/>
      <c r="F92" s="48"/>
      <c r="G92" s="48"/>
      <c r="H92" s="48"/>
      <c r="I92" s="48"/>
      <c r="J92" s="48"/>
      <c r="K92" s="48"/>
    </row>
    <row r="93" spans="1:11" ht="12.75" customHeight="1">
      <c r="A93" s="48"/>
      <c r="B93" s="120"/>
      <c r="C93" s="120"/>
      <c r="D93" s="120"/>
      <c r="E93" s="120"/>
      <c r="F93" s="48"/>
      <c r="G93" s="48"/>
      <c r="H93" s="48"/>
      <c r="I93" s="48"/>
      <c r="J93" s="48"/>
      <c r="K93" s="48"/>
    </row>
  </sheetData>
  <mergeCells count="2">
    <mergeCell ref="B2:B3"/>
    <mergeCell ref="C2:C3"/>
  </mergeCells>
  <phoneticPr fontId="17"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Sheet97" enableFormatConditionsCalculation="0">
    <tabColor indexed="42"/>
    <pageSetUpPr fitToPage="1"/>
  </sheetPr>
  <dimension ref="A1:M86"/>
  <sheetViews>
    <sheetView showGridLines="0" workbookViewId="0">
      <pane xSplit="2" ySplit="5" topLeftCell="C61" activePane="bottomRight" state="frozen"/>
      <selection activeCell="M17" sqref="M17:M63"/>
      <selection pane="topRight" activeCell="M17" sqref="M17:M63"/>
      <selection pane="bottomLeft" activeCell="M17" sqref="M17:M63"/>
      <selection pane="bottomRight" activeCell="J49" sqref="J49:K49"/>
    </sheetView>
  </sheetViews>
  <sheetFormatPr defaultRowHeight="12.7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"&amp;ADJB7&amp;" - "&amp;Date</f>
        <v>LIM333 Greater Tzaneen - Supporting Table SB7 Consolidated Adjustments Budget - transfers and grant receipts - 26 FEBRUARY 2014</v>
      </c>
      <c r="B1" s="5"/>
      <c r="C1" s="58"/>
    </row>
    <row r="2" spans="1:11" ht="38.25">
      <c r="A2" s="1322" t="str">
        <f>desc</f>
        <v>Description</v>
      </c>
      <c r="B2" s="1322" t="str">
        <f>head27</f>
        <v>Ref</v>
      </c>
      <c r="C2" s="1319" t="str">
        <f>Head2</f>
        <v>Budget Year 2013/14</v>
      </c>
      <c r="D2" s="1320"/>
      <c r="E2" s="1320"/>
      <c r="F2" s="1320"/>
      <c r="G2" s="1320"/>
      <c r="H2" s="1320"/>
      <c r="I2" s="1320"/>
      <c r="J2" s="103" t="str">
        <f>Head10</f>
        <v>Budget Year +1 2014/15</v>
      </c>
      <c r="K2" s="61" t="str">
        <f>Head11</f>
        <v>Budget Year +2 2015/16</v>
      </c>
    </row>
    <row r="3" spans="1:11" ht="25.5">
      <c r="A3" s="1323"/>
      <c r="B3" s="132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323"/>
      <c r="B4" s="1323"/>
      <c r="C4" s="14"/>
      <c r="D4" s="15">
        <v>7</v>
      </c>
      <c r="E4" s="15">
        <v>8</v>
      </c>
      <c r="F4" s="15">
        <v>9</v>
      </c>
      <c r="G4" s="15">
        <v>10</v>
      </c>
      <c r="H4" s="15">
        <v>11</v>
      </c>
      <c r="I4" s="15">
        <v>12</v>
      </c>
      <c r="J4" s="15"/>
      <c r="K4" s="17"/>
    </row>
    <row r="5" spans="1:11">
      <c r="A5" s="66" t="s">
        <v>643</v>
      </c>
      <c r="B5" s="104"/>
      <c r="C5" s="495" t="s">
        <v>583</v>
      </c>
      <c r="D5" s="68" t="s">
        <v>584</v>
      </c>
      <c r="E5" s="69" t="s">
        <v>585</v>
      </c>
      <c r="F5" s="69" t="s">
        <v>586</v>
      </c>
      <c r="G5" s="70" t="s">
        <v>587</v>
      </c>
      <c r="H5" s="70" t="s">
        <v>588</v>
      </c>
      <c r="I5" s="70" t="s">
        <v>589</v>
      </c>
      <c r="J5" s="70"/>
      <c r="K5" s="71"/>
    </row>
    <row r="6" spans="1:11" ht="12.75" customHeight="1">
      <c r="A6" s="138" t="s">
        <v>153</v>
      </c>
      <c r="B6" s="73" t="s">
        <v>154</v>
      </c>
      <c r="C6" s="240"/>
      <c r="D6" s="75"/>
      <c r="E6" s="75"/>
      <c r="F6" s="75"/>
      <c r="G6" s="75"/>
      <c r="H6" s="75"/>
      <c r="I6" s="75"/>
      <c r="J6" s="75"/>
      <c r="K6" s="76"/>
    </row>
    <row r="7" spans="1:11" ht="5.0999999999999996" customHeight="1">
      <c r="A7" s="125"/>
      <c r="B7" s="73"/>
      <c r="C7" s="240"/>
      <c r="D7" s="75"/>
      <c r="E7" s="75"/>
      <c r="F7" s="75"/>
      <c r="G7" s="75"/>
      <c r="H7" s="75"/>
      <c r="I7" s="75"/>
      <c r="J7" s="75"/>
      <c r="K7" s="76"/>
    </row>
    <row r="8" spans="1:11" ht="12.75" customHeight="1">
      <c r="A8" s="506" t="s">
        <v>1263</v>
      </c>
      <c r="B8" s="73"/>
      <c r="C8" s="240"/>
      <c r="D8" s="75"/>
      <c r="E8" s="75"/>
      <c r="F8" s="75"/>
      <c r="G8" s="75"/>
      <c r="H8" s="75"/>
      <c r="I8" s="75"/>
      <c r="J8" s="75"/>
      <c r="K8" s="76"/>
    </row>
    <row r="9" spans="1:11" ht="12.75" customHeight="1">
      <c r="A9" s="138" t="s">
        <v>155</v>
      </c>
      <c r="B9" s="73"/>
      <c r="C9" s="496">
        <f t="shared" ref="C9:K9" si="0">SUM(C10:C16)</f>
        <v>238841880</v>
      </c>
      <c r="D9" s="140">
        <f t="shared" si="0"/>
        <v>0</v>
      </c>
      <c r="E9" s="140">
        <f t="shared" si="0"/>
        <v>0</v>
      </c>
      <c r="F9" s="140">
        <f t="shared" si="0"/>
        <v>0</v>
      </c>
      <c r="G9" s="140">
        <f t="shared" si="0"/>
        <v>0</v>
      </c>
      <c r="H9" s="140">
        <f t="shared" si="0"/>
        <v>0</v>
      </c>
      <c r="I9" s="140">
        <f t="shared" si="0"/>
        <v>238841880</v>
      </c>
      <c r="J9" s="140">
        <f t="shared" si="0"/>
        <v>267059040</v>
      </c>
      <c r="K9" s="141">
        <f t="shared" si="0"/>
        <v>321359360</v>
      </c>
    </row>
    <row r="10" spans="1:11" ht="12.75" customHeight="1">
      <c r="A10" s="497" t="s">
        <v>1458</v>
      </c>
      <c r="B10" s="73"/>
      <c r="C10" s="498">
        <v>211762000</v>
      </c>
      <c r="D10" s="499"/>
      <c r="E10" s="499"/>
      <c r="F10" s="499"/>
      <c r="G10" s="499"/>
      <c r="H10" s="500">
        <f t="shared" ref="H10:H16" si="1">SUM(E10:G10)</f>
        <v>0</v>
      </c>
      <c r="I10" s="500">
        <f t="shared" ref="I10:I16" si="2">IF(D10=0,C10+H10,D10+H10)</f>
        <v>211762000</v>
      </c>
      <c r="J10" s="499">
        <v>236039000</v>
      </c>
      <c r="K10" s="499">
        <v>289971000</v>
      </c>
    </row>
    <row r="11" spans="1:11" ht="12.75" customHeight="1">
      <c r="A11" s="497" t="s">
        <v>1460</v>
      </c>
      <c r="B11" s="73">
        <v>3</v>
      </c>
      <c r="C11" s="400">
        <v>1550000</v>
      </c>
      <c r="D11" s="109"/>
      <c r="E11" s="109"/>
      <c r="F11" s="109"/>
      <c r="G11" s="109"/>
      <c r="H11" s="75">
        <f t="shared" si="1"/>
        <v>0</v>
      </c>
      <c r="I11" s="75">
        <f t="shared" si="2"/>
        <v>1550000</v>
      </c>
      <c r="J11" s="109">
        <v>1600000</v>
      </c>
      <c r="K11" s="109">
        <v>1650000</v>
      </c>
    </row>
    <row r="12" spans="1:11" ht="12.75" customHeight="1">
      <c r="A12" s="497" t="s">
        <v>266</v>
      </c>
      <c r="B12" s="73"/>
      <c r="C12" s="400">
        <v>890000</v>
      </c>
      <c r="D12" s="109"/>
      <c r="E12" s="109"/>
      <c r="F12" s="109"/>
      <c r="G12" s="109"/>
      <c r="H12" s="75">
        <f t="shared" si="1"/>
        <v>0</v>
      </c>
      <c r="I12" s="75">
        <f t="shared" si="2"/>
        <v>890000</v>
      </c>
      <c r="J12" s="109">
        <v>934000</v>
      </c>
      <c r="K12" s="109">
        <v>967000</v>
      </c>
    </row>
    <row r="13" spans="1:11" ht="12.75" customHeight="1">
      <c r="A13" s="497" t="s">
        <v>1463</v>
      </c>
      <c r="B13" s="73"/>
      <c r="C13" s="400">
        <v>20000000</v>
      </c>
      <c r="D13" s="109"/>
      <c r="E13" s="109"/>
      <c r="F13" s="109"/>
      <c r="G13" s="109"/>
      <c r="H13" s="75">
        <f t="shared" si="1"/>
        <v>0</v>
      </c>
      <c r="I13" s="75">
        <f t="shared" si="2"/>
        <v>20000000</v>
      </c>
      <c r="J13" s="109">
        <v>25000000</v>
      </c>
      <c r="K13" s="109">
        <v>25000000</v>
      </c>
    </row>
    <row r="14" spans="1:11" ht="12.75" customHeight="1">
      <c r="A14" s="497" t="s">
        <v>1467</v>
      </c>
      <c r="B14" s="73"/>
      <c r="C14" s="400">
        <v>1710000</v>
      </c>
      <c r="D14" s="109"/>
      <c r="E14" s="109"/>
      <c r="F14" s="109"/>
      <c r="G14" s="109"/>
      <c r="H14" s="75">
        <f t="shared" si="1"/>
        <v>0</v>
      </c>
      <c r="I14" s="75">
        <f t="shared" si="2"/>
        <v>1710000</v>
      </c>
      <c r="J14" s="109"/>
      <c r="K14" s="109"/>
    </row>
    <row r="15" spans="1:11" ht="12.75" customHeight="1">
      <c r="A15" s="497"/>
      <c r="B15" s="73"/>
      <c r="C15" s="400"/>
      <c r="D15" s="109"/>
      <c r="E15" s="109"/>
      <c r="F15" s="109"/>
      <c r="G15" s="109"/>
      <c r="H15" s="75">
        <f t="shared" si="1"/>
        <v>0</v>
      </c>
      <c r="I15" s="75">
        <f t="shared" si="2"/>
        <v>0</v>
      </c>
      <c r="J15" s="109"/>
      <c r="K15" s="109"/>
    </row>
    <row r="16" spans="1:11" ht="12.75" customHeight="1">
      <c r="A16" s="497" t="s">
        <v>1799</v>
      </c>
      <c r="B16" s="73"/>
      <c r="C16" s="502">
        <v>2929880</v>
      </c>
      <c r="D16" s="143"/>
      <c r="E16" s="143"/>
      <c r="F16" s="143"/>
      <c r="G16" s="143"/>
      <c r="H16" s="144">
        <f t="shared" si="1"/>
        <v>0</v>
      </c>
      <c r="I16" s="144">
        <f t="shared" si="2"/>
        <v>2929880</v>
      </c>
      <c r="J16" s="143">
        <v>3486040</v>
      </c>
      <c r="K16" s="143">
        <v>3771360</v>
      </c>
    </row>
    <row r="17" spans="1:11" ht="12.75" customHeight="1">
      <c r="A17" s="138" t="s">
        <v>156</v>
      </c>
      <c r="B17" s="73"/>
      <c r="C17" s="496">
        <f t="shared" ref="C17:K17" si="3">SUM(C18:C22)</f>
        <v>0</v>
      </c>
      <c r="D17" s="140">
        <f t="shared" si="3"/>
        <v>0</v>
      </c>
      <c r="E17" s="140">
        <f t="shared" si="3"/>
        <v>0</v>
      </c>
      <c r="F17" s="140">
        <f t="shared" si="3"/>
        <v>0</v>
      </c>
      <c r="G17" s="140">
        <f t="shared" si="3"/>
        <v>0</v>
      </c>
      <c r="H17" s="140">
        <f t="shared" si="3"/>
        <v>0</v>
      </c>
      <c r="I17" s="140">
        <f t="shared" si="3"/>
        <v>0</v>
      </c>
      <c r="J17" s="140">
        <f t="shared" si="3"/>
        <v>0</v>
      </c>
      <c r="K17" s="141">
        <f t="shared" si="3"/>
        <v>0</v>
      </c>
    </row>
    <row r="18" spans="1:11" ht="12.75" customHeight="1">
      <c r="A18" s="497"/>
      <c r="B18" s="73"/>
      <c r="C18" s="498"/>
      <c r="D18" s="503"/>
      <c r="E18" s="499"/>
      <c r="F18" s="499"/>
      <c r="G18" s="499"/>
      <c r="H18" s="500">
        <f>SUM(E18:G18)</f>
        <v>0</v>
      </c>
      <c r="I18" s="500">
        <f>IF(D18=0,C18+H18,D18+H18)</f>
        <v>0</v>
      </c>
      <c r="J18" s="499"/>
      <c r="K18" s="501"/>
    </row>
    <row r="19" spans="1:11" ht="12.75" customHeight="1">
      <c r="A19" s="497"/>
      <c r="B19" s="73"/>
      <c r="C19" s="400"/>
      <c r="D19" s="129"/>
      <c r="E19" s="109"/>
      <c r="F19" s="109"/>
      <c r="G19" s="109"/>
      <c r="H19" s="75">
        <f>SUM(E19:G19)</f>
        <v>0</v>
      </c>
      <c r="I19" s="75">
        <f>IF(D19=0,C19+H19,D19+H19)</f>
        <v>0</v>
      </c>
      <c r="J19" s="109"/>
      <c r="K19" s="110"/>
    </row>
    <row r="20" spans="1:11" ht="12.75" customHeight="1">
      <c r="A20" s="497"/>
      <c r="B20" s="73">
        <v>4</v>
      </c>
      <c r="C20" s="400"/>
      <c r="D20" s="129"/>
      <c r="E20" s="109"/>
      <c r="F20" s="109"/>
      <c r="G20" s="109"/>
      <c r="H20" s="75">
        <f>SUM(E20:G20)</f>
        <v>0</v>
      </c>
      <c r="I20" s="75">
        <f>IF(D20=0,C20+H20,D20+H20)</f>
        <v>0</v>
      </c>
      <c r="J20" s="109"/>
      <c r="K20" s="110"/>
    </row>
    <row r="21" spans="1:11" ht="12.75" customHeight="1">
      <c r="A21" s="497"/>
      <c r="B21" s="73"/>
      <c r="C21" s="400"/>
      <c r="D21" s="129"/>
      <c r="E21" s="109"/>
      <c r="F21" s="109"/>
      <c r="G21" s="109"/>
      <c r="H21" s="75">
        <f>SUM(E21:G21)</f>
        <v>0</v>
      </c>
      <c r="I21" s="75">
        <f>IF(D21=0,C21+H21,D21+H21)</f>
        <v>0</v>
      </c>
      <c r="J21" s="109"/>
      <c r="K21" s="110"/>
    </row>
    <row r="22" spans="1:11" ht="12.75" customHeight="1">
      <c r="A22" s="497" t="s">
        <v>1801</v>
      </c>
      <c r="B22" s="73">
        <v>5</v>
      </c>
      <c r="C22" s="502"/>
      <c r="D22" s="142"/>
      <c r="E22" s="143"/>
      <c r="F22" s="143"/>
      <c r="G22" s="143"/>
      <c r="H22" s="144">
        <f>SUM(E22:G22)</f>
        <v>0</v>
      </c>
      <c r="I22" s="144">
        <f>IF(D22=0,C22+H22,D22+H22)</f>
        <v>0</v>
      </c>
      <c r="J22" s="143"/>
      <c r="K22" s="112"/>
    </row>
    <row r="23" spans="1:11" ht="12.75" customHeight="1">
      <c r="A23" s="138" t="s">
        <v>157</v>
      </c>
      <c r="B23" s="73"/>
      <c r="C23" s="496">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c r="A24" s="294" t="s">
        <v>158</v>
      </c>
      <c r="B24" s="73"/>
      <c r="C24" s="498"/>
      <c r="D24" s="499"/>
      <c r="E24" s="499"/>
      <c r="F24" s="499"/>
      <c r="G24" s="499"/>
      <c r="H24" s="500">
        <f>SUM(E24:G24)</f>
        <v>0</v>
      </c>
      <c r="I24" s="500">
        <f>IF(D24=0,C24+H24,D24+H24)</f>
        <v>0</v>
      </c>
      <c r="J24" s="499"/>
      <c r="K24" s="501"/>
    </row>
    <row r="25" spans="1:11" ht="12.75" customHeight="1">
      <c r="A25" s="294"/>
      <c r="B25" s="73"/>
      <c r="C25" s="502"/>
      <c r="D25" s="143"/>
      <c r="E25" s="143"/>
      <c r="F25" s="143"/>
      <c r="G25" s="143"/>
      <c r="H25" s="144">
        <f>SUM(E25:G25)</f>
        <v>0</v>
      </c>
      <c r="I25" s="144">
        <f>IF(D25=0,C25+H25,D25+H25)</f>
        <v>0</v>
      </c>
      <c r="J25" s="143"/>
      <c r="K25" s="112"/>
    </row>
    <row r="26" spans="1:11" ht="12.75" customHeight="1">
      <c r="A26" s="138" t="s">
        <v>159</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294" t="s">
        <v>158</v>
      </c>
      <c r="B27" s="73"/>
      <c r="C27" s="498"/>
      <c r="D27" s="499"/>
      <c r="E27" s="499"/>
      <c r="F27" s="499"/>
      <c r="G27" s="499"/>
      <c r="H27" s="500">
        <f>SUM(E27:G27)</f>
        <v>0</v>
      </c>
      <c r="I27" s="500">
        <f>IF(D27=0,C27+H27,D27+H27)</f>
        <v>0</v>
      </c>
      <c r="J27" s="499"/>
      <c r="K27" s="501"/>
    </row>
    <row r="28" spans="1:11" ht="12.75" customHeight="1">
      <c r="A28" s="294"/>
      <c r="B28" s="73"/>
      <c r="C28" s="502"/>
      <c r="D28" s="143"/>
      <c r="E28" s="143"/>
      <c r="F28" s="143"/>
      <c r="G28" s="143"/>
      <c r="H28" s="144">
        <f>SUM(E28:G28)</f>
        <v>0</v>
      </c>
      <c r="I28" s="144">
        <f>IF(D28=0,C28+H28,D28+H28)</f>
        <v>0</v>
      </c>
      <c r="J28" s="143"/>
      <c r="K28" s="112"/>
    </row>
    <row r="29" spans="1:11" ht="12.75" customHeight="1">
      <c r="A29" s="504" t="s">
        <v>1264</v>
      </c>
      <c r="B29" s="79">
        <v>6</v>
      </c>
      <c r="C29" s="505">
        <f t="shared" ref="C29:K29" si="6">C9+C17+C23+C26</f>
        <v>238841880</v>
      </c>
      <c r="D29" s="81">
        <f t="shared" si="6"/>
        <v>0</v>
      </c>
      <c r="E29" s="81">
        <f t="shared" si="6"/>
        <v>0</v>
      </c>
      <c r="F29" s="81">
        <f t="shared" si="6"/>
        <v>0</v>
      </c>
      <c r="G29" s="81">
        <f t="shared" si="6"/>
        <v>0</v>
      </c>
      <c r="H29" s="81">
        <f t="shared" si="6"/>
        <v>0</v>
      </c>
      <c r="I29" s="81">
        <f>I9+I17+I23+I26</f>
        <v>238841880</v>
      </c>
      <c r="J29" s="81">
        <f t="shared" si="6"/>
        <v>267059040</v>
      </c>
      <c r="K29" s="82">
        <f t="shared" si="6"/>
        <v>321359360</v>
      </c>
    </row>
    <row r="30" spans="1:11" ht="5.0999999999999996" customHeight="1">
      <c r="A30" s="135"/>
      <c r="B30" s="73"/>
      <c r="C30" s="240"/>
      <c r="D30" s="75"/>
      <c r="E30" s="75"/>
      <c r="F30" s="75"/>
      <c r="G30" s="75"/>
      <c r="H30" s="75"/>
      <c r="I30" s="75"/>
      <c r="J30" s="75"/>
      <c r="K30" s="76"/>
    </row>
    <row r="31" spans="1:11" ht="12.75" customHeight="1">
      <c r="A31" s="506" t="s">
        <v>1265</v>
      </c>
      <c r="B31" s="73"/>
      <c r="C31" s="240"/>
      <c r="D31" s="75"/>
      <c r="E31" s="75"/>
      <c r="F31" s="75"/>
      <c r="G31" s="75"/>
      <c r="H31" s="75"/>
      <c r="I31" s="75"/>
      <c r="J31" s="75"/>
      <c r="K31" s="76"/>
    </row>
    <row r="32" spans="1:11" ht="12.75" customHeight="1">
      <c r="A32" s="138" t="str">
        <f>A9</f>
        <v>National Government:</v>
      </c>
      <c r="B32" s="73"/>
      <c r="C32" s="496">
        <f t="shared" ref="C32:K32" si="7">SUM(C33:C38)</f>
        <v>80317120</v>
      </c>
      <c r="D32" s="140">
        <f t="shared" si="7"/>
        <v>0</v>
      </c>
      <c r="E32" s="140">
        <f t="shared" si="7"/>
        <v>0</v>
      </c>
      <c r="F32" s="140">
        <f t="shared" si="7"/>
        <v>20350000</v>
      </c>
      <c r="G32" s="140">
        <f t="shared" si="7"/>
        <v>0</v>
      </c>
      <c r="H32" s="140">
        <f t="shared" si="7"/>
        <v>20350000</v>
      </c>
      <c r="I32" s="140">
        <f t="shared" si="7"/>
        <v>100667120</v>
      </c>
      <c r="J32" s="140">
        <f t="shared" si="7"/>
        <v>88664960</v>
      </c>
      <c r="K32" s="141">
        <f t="shared" si="7"/>
        <v>95512640</v>
      </c>
    </row>
    <row r="33" spans="1:13" ht="12.75" customHeight="1">
      <c r="A33" s="497" t="s">
        <v>1470</v>
      </c>
      <c r="B33" s="73"/>
      <c r="C33" s="498">
        <v>70317120</v>
      </c>
      <c r="D33" s="499"/>
      <c r="E33" s="499"/>
      <c r="F33" s="499"/>
      <c r="G33" s="499"/>
      <c r="H33" s="500">
        <f t="shared" ref="H33:H38" si="8">SUM(E33:G33)</f>
        <v>0</v>
      </c>
      <c r="I33" s="500">
        <f t="shared" ref="I33:I38" si="9">IF(D33=0,C33+H33,D33+H33)</f>
        <v>70317120</v>
      </c>
      <c r="J33" s="499">
        <v>83664960</v>
      </c>
      <c r="K33" s="499">
        <v>90512640</v>
      </c>
    </row>
    <row r="34" spans="1:13" ht="12.75" customHeight="1">
      <c r="A34" s="497"/>
      <c r="B34" s="73"/>
      <c r="C34" s="400"/>
      <c r="D34" s="109"/>
      <c r="E34" s="109"/>
      <c r="F34" s="109"/>
      <c r="G34" s="109"/>
      <c r="H34" s="75">
        <f t="shared" si="8"/>
        <v>0</v>
      </c>
      <c r="I34" s="75">
        <f t="shared" si="9"/>
        <v>0</v>
      </c>
      <c r="J34" s="109"/>
      <c r="K34" s="109"/>
    </row>
    <row r="35" spans="1:13" ht="12.75" customHeight="1">
      <c r="A35" s="497"/>
      <c r="B35" s="73"/>
      <c r="C35" s="400"/>
      <c r="D35" s="109"/>
      <c r="E35" s="109"/>
      <c r="F35" s="109"/>
      <c r="G35" s="109"/>
      <c r="H35" s="75">
        <f t="shared" si="8"/>
        <v>0</v>
      </c>
      <c r="I35" s="75">
        <f t="shared" si="9"/>
        <v>0</v>
      </c>
      <c r="J35" s="109"/>
      <c r="K35" s="109"/>
    </row>
    <row r="36" spans="1:13" ht="12.75" customHeight="1">
      <c r="A36" s="497"/>
      <c r="B36" s="73"/>
      <c r="C36" s="400"/>
      <c r="D36" s="109"/>
      <c r="E36" s="109"/>
      <c r="F36" s="109"/>
      <c r="G36" s="109"/>
      <c r="H36" s="75">
        <f t="shared" si="8"/>
        <v>0</v>
      </c>
      <c r="I36" s="75">
        <f t="shared" si="9"/>
        <v>0</v>
      </c>
      <c r="J36" s="109"/>
      <c r="K36" s="109"/>
      <c r="M36" s="5" t="s">
        <v>1457</v>
      </c>
    </row>
    <row r="37" spans="1:13" ht="12.75" customHeight="1">
      <c r="A37" s="497"/>
      <c r="B37" s="73"/>
      <c r="C37" s="400"/>
      <c r="D37" s="109"/>
      <c r="E37" s="109"/>
      <c r="F37" s="109"/>
      <c r="G37" s="109"/>
      <c r="H37" s="75">
        <f t="shared" si="8"/>
        <v>0</v>
      </c>
      <c r="I37" s="75">
        <f t="shared" si="9"/>
        <v>0</v>
      </c>
      <c r="J37" s="109"/>
      <c r="K37" s="109"/>
    </row>
    <row r="38" spans="1:13" ht="12.75" customHeight="1">
      <c r="A38" s="1181" t="s">
        <v>1800</v>
      </c>
      <c r="B38" s="73"/>
      <c r="C38" s="502">
        <v>10000000</v>
      </c>
      <c r="D38" s="143"/>
      <c r="E38" s="143"/>
      <c r="F38" s="143">
        <f>18350000+2000000</f>
        <v>20350000</v>
      </c>
      <c r="G38" s="143"/>
      <c r="H38" s="144">
        <f t="shared" si="8"/>
        <v>20350000</v>
      </c>
      <c r="I38" s="144">
        <f t="shared" si="9"/>
        <v>30350000</v>
      </c>
      <c r="J38" s="143">
        <v>5000000</v>
      </c>
      <c r="K38" s="143">
        <v>5000000</v>
      </c>
    </row>
    <row r="39" spans="1:13" ht="12.75" customHeight="1">
      <c r="A39" s="138" t="str">
        <f>A17</f>
        <v>Provincial Government:</v>
      </c>
      <c r="B39" s="73"/>
      <c r="C39" s="496">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3" ht="12.75" customHeight="1">
      <c r="A40" s="497"/>
      <c r="B40" s="73"/>
      <c r="C40" s="498"/>
      <c r="D40" s="499"/>
      <c r="E40" s="499"/>
      <c r="F40" s="499"/>
      <c r="G40" s="499"/>
      <c r="H40" s="500">
        <f>SUM(E40:G40)</f>
        <v>0</v>
      </c>
      <c r="I40" s="500">
        <f>IF(D40=0,C40+H40,D40+H40)</f>
        <v>0</v>
      </c>
      <c r="J40" s="499"/>
      <c r="K40" s="501"/>
    </row>
    <row r="41" spans="1:13" ht="12.75" customHeight="1">
      <c r="A41" s="497" t="s">
        <v>158</v>
      </c>
      <c r="B41" s="73"/>
      <c r="C41" s="502"/>
      <c r="D41" s="143"/>
      <c r="E41" s="143"/>
      <c r="F41" s="143"/>
      <c r="G41" s="143"/>
      <c r="H41" s="144">
        <f>SUM(E41:G41)</f>
        <v>0</v>
      </c>
      <c r="I41" s="144">
        <f>IF(D41=0,C41+H41,D41+H41)</f>
        <v>0</v>
      </c>
      <c r="J41" s="143"/>
      <c r="K41" s="112"/>
    </row>
    <row r="42" spans="1:13" ht="12.75" customHeight="1">
      <c r="A42" s="138" t="str">
        <f>A23</f>
        <v>District Municipality:</v>
      </c>
      <c r="B42" s="73"/>
      <c r="C42" s="496">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3" ht="12.75" customHeight="1">
      <c r="A43" s="294" t="s">
        <v>158</v>
      </c>
      <c r="B43" s="73"/>
      <c r="C43" s="498"/>
      <c r="D43" s="499"/>
      <c r="E43" s="499"/>
      <c r="F43" s="499"/>
      <c r="G43" s="499"/>
      <c r="H43" s="500">
        <f>SUM(E43:G43)</f>
        <v>0</v>
      </c>
      <c r="I43" s="500">
        <f>IF(D43=0,C43+H43,D43+H43)</f>
        <v>0</v>
      </c>
      <c r="J43" s="499"/>
      <c r="K43" s="501"/>
    </row>
    <row r="44" spans="1:13" ht="12.75" customHeight="1">
      <c r="A44" s="294"/>
      <c r="B44" s="73"/>
      <c r="C44" s="502"/>
      <c r="D44" s="143"/>
      <c r="E44" s="143"/>
      <c r="F44" s="143"/>
      <c r="G44" s="143"/>
      <c r="H44" s="144">
        <f>SUM(E44:G44)</f>
        <v>0</v>
      </c>
      <c r="I44" s="144">
        <f>IF(D44=0,C44+H44,D44+H44)</f>
        <v>0</v>
      </c>
      <c r="J44" s="143"/>
      <c r="K44" s="112"/>
    </row>
    <row r="45" spans="1:13" ht="12.75" customHeight="1">
      <c r="A45" s="138" t="str">
        <f>A26</f>
        <v>Other grant providers:</v>
      </c>
      <c r="B45" s="73"/>
      <c r="C45" s="496">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3" ht="12.75" customHeight="1">
      <c r="A46" s="294" t="s">
        <v>158</v>
      </c>
      <c r="B46" s="73"/>
      <c r="C46" s="498"/>
      <c r="D46" s="499"/>
      <c r="E46" s="499"/>
      <c r="F46" s="499"/>
      <c r="G46" s="499"/>
      <c r="H46" s="500">
        <f>SUM(E46:G46)</f>
        <v>0</v>
      </c>
      <c r="I46" s="500">
        <f>IF(D46=0,C46+H46,D46+H46)</f>
        <v>0</v>
      </c>
      <c r="J46" s="499"/>
      <c r="K46" s="501"/>
    </row>
    <row r="47" spans="1:13" ht="12.75" customHeight="1">
      <c r="A47" s="294"/>
      <c r="B47" s="73"/>
      <c r="C47" s="502"/>
      <c r="D47" s="143"/>
      <c r="E47" s="143"/>
      <c r="F47" s="143"/>
      <c r="G47" s="143"/>
      <c r="H47" s="144">
        <f>SUM(E47:G47)</f>
        <v>0</v>
      </c>
      <c r="I47" s="144">
        <f>IF(D47=0,C47+H47,D47+H47)</f>
        <v>0</v>
      </c>
      <c r="J47" s="143"/>
      <c r="K47" s="112"/>
    </row>
    <row r="48" spans="1:13" ht="12.75" customHeight="1">
      <c r="A48" s="507" t="s">
        <v>1266</v>
      </c>
      <c r="B48" s="79">
        <v>6</v>
      </c>
      <c r="C48" s="505">
        <f t="shared" ref="C48:K48" si="13">C32+C39+C42+C45</f>
        <v>80317120</v>
      </c>
      <c r="D48" s="81">
        <f t="shared" si="13"/>
        <v>0</v>
      </c>
      <c r="E48" s="81">
        <f t="shared" si="13"/>
        <v>0</v>
      </c>
      <c r="F48" s="81">
        <f t="shared" si="13"/>
        <v>20350000</v>
      </c>
      <c r="G48" s="81">
        <f t="shared" si="13"/>
        <v>0</v>
      </c>
      <c r="H48" s="81">
        <f t="shared" si="13"/>
        <v>20350000</v>
      </c>
      <c r="I48" s="81">
        <f>I32+I39+I42+I45</f>
        <v>100667120</v>
      </c>
      <c r="J48" s="81">
        <f t="shared" si="13"/>
        <v>88664960</v>
      </c>
      <c r="K48" s="82">
        <f t="shared" si="13"/>
        <v>95512640</v>
      </c>
    </row>
    <row r="49" spans="1:13" ht="12.75" customHeight="1">
      <c r="A49" s="508" t="s">
        <v>1267</v>
      </c>
      <c r="B49" s="155"/>
      <c r="C49" s="115">
        <f t="shared" ref="C49:K49" si="14">C29+C48</f>
        <v>319159000</v>
      </c>
      <c r="D49" s="116">
        <f t="shared" si="14"/>
        <v>0</v>
      </c>
      <c r="E49" s="116">
        <f t="shared" si="14"/>
        <v>0</v>
      </c>
      <c r="F49" s="116">
        <f t="shared" si="14"/>
        <v>20350000</v>
      </c>
      <c r="G49" s="116">
        <f t="shared" si="14"/>
        <v>0</v>
      </c>
      <c r="H49" s="116">
        <f t="shared" si="14"/>
        <v>20350000</v>
      </c>
      <c r="I49" s="116">
        <f>I29+I48</f>
        <v>339509000</v>
      </c>
      <c r="J49" s="116">
        <f t="shared" si="14"/>
        <v>355724000</v>
      </c>
      <c r="K49" s="117">
        <f t="shared" si="14"/>
        <v>416872000</v>
      </c>
    </row>
    <row r="50" spans="1:13" ht="12.75" customHeight="1">
      <c r="A50" s="157" t="str">
        <f>head27a</f>
        <v>References</v>
      </c>
      <c r="B50" s="93"/>
      <c r="C50" s="96"/>
      <c r="D50" s="96"/>
      <c r="E50" s="96"/>
      <c r="F50" s="96"/>
      <c r="G50" s="96"/>
      <c r="H50" s="96"/>
      <c r="I50" s="96"/>
      <c r="J50" s="96"/>
      <c r="K50" s="96"/>
    </row>
    <row r="51" spans="1:13" ht="12.75" customHeight="1">
      <c r="A51" s="99" t="s">
        <v>160</v>
      </c>
      <c r="B51" s="93"/>
      <c r="C51" s="96"/>
      <c r="D51" s="96"/>
      <c r="E51" s="96"/>
      <c r="F51" s="96"/>
      <c r="G51" s="96"/>
      <c r="H51" s="96"/>
      <c r="I51" s="96"/>
      <c r="J51" s="96"/>
      <c r="K51" s="96"/>
    </row>
    <row r="52" spans="1:13" ht="12.75" customHeight="1">
      <c r="A52" s="99" t="s">
        <v>578</v>
      </c>
      <c r="B52" s="93"/>
      <c r="C52" s="96"/>
      <c r="D52" s="96"/>
      <c r="E52" s="96"/>
      <c r="F52" s="96"/>
      <c r="G52" s="96"/>
      <c r="H52" s="96"/>
      <c r="I52" s="96"/>
      <c r="J52" s="96"/>
      <c r="K52" s="96"/>
    </row>
    <row r="53" spans="1:13" ht="12.75" customHeight="1">
      <c r="A53" s="99" t="s">
        <v>161</v>
      </c>
      <c r="B53" s="93"/>
      <c r="C53" s="96"/>
      <c r="D53" s="96"/>
      <c r="E53" s="96"/>
      <c r="F53" s="96"/>
      <c r="G53" s="96"/>
      <c r="H53" s="96"/>
      <c r="I53" s="96"/>
      <c r="J53" s="96"/>
      <c r="K53" s="96"/>
    </row>
    <row r="54" spans="1:13" ht="12.75" customHeight="1">
      <c r="A54" s="95" t="s">
        <v>163</v>
      </c>
      <c r="B54" s="93"/>
      <c r="C54" s="96"/>
      <c r="D54" s="96"/>
      <c r="E54" s="96"/>
      <c r="F54" s="96"/>
      <c r="G54" s="96"/>
      <c r="H54" s="96"/>
      <c r="I54" s="96"/>
      <c r="J54" s="96"/>
      <c r="K54" s="96"/>
    </row>
    <row r="55" spans="1:13" ht="12.75" customHeight="1">
      <c r="A55" s="509" t="s">
        <v>164</v>
      </c>
      <c r="B55" s="93"/>
      <c r="C55" s="96"/>
      <c r="D55" s="96"/>
      <c r="E55" s="96"/>
      <c r="F55" s="96"/>
      <c r="G55" s="96"/>
      <c r="H55" s="96"/>
      <c r="I55" s="96"/>
      <c r="J55" s="96"/>
      <c r="K55" s="96"/>
    </row>
    <row r="56" spans="1:13" ht="12.75" customHeight="1">
      <c r="A56" s="509" t="s">
        <v>165</v>
      </c>
      <c r="B56" s="159"/>
      <c r="C56" s="510"/>
      <c r="D56" s="510"/>
      <c r="E56" s="510"/>
      <c r="F56" s="510"/>
      <c r="G56" s="510"/>
      <c r="H56" s="510"/>
      <c r="I56" s="510"/>
      <c r="J56" s="510"/>
      <c r="K56" s="511"/>
    </row>
    <row r="57" spans="1:13" ht="12.75" customHeight="1">
      <c r="A57" s="1318" t="s">
        <v>1104</v>
      </c>
      <c r="B57" s="1318"/>
      <c r="C57" s="1318"/>
      <c r="D57" s="1318"/>
      <c r="E57" s="1318"/>
      <c r="F57" s="1318"/>
      <c r="G57" s="1318"/>
      <c r="H57" s="1318"/>
      <c r="I57" s="1318"/>
      <c r="J57" s="1318"/>
      <c r="K57" s="1318"/>
    </row>
    <row r="58" spans="1:13" ht="12.75" customHeight="1">
      <c r="A58" s="99" t="s">
        <v>1348</v>
      </c>
      <c r="B58" s="99"/>
      <c r="C58" s="99"/>
      <c r="D58" s="99"/>
      <c r="E58" s="99"/>
      <c r="F58" s="99"/>
      <c r="G58" s="99"/>
      <c r="H58" s="99"/>
      <c r="I58" s="99"/>
      <c r="J58" s="99"/>
      <c r="K58" s="98"/>
    </row>
    <row r="59" spans="1:13" ht="12.75" customHeight="1">
      <c r="A59" s="99" t="s">
        <v>680</v>
      </c>
      <c r="B59" s="93"/>
      <c r="C59" s="96"/>
      <c r="D59" s="96"/>
      <c r="E59" s="96"/>
      <c r="F59" s="96"/>
      <c r="G59" s="96"/>
      <c r="H59" s="96"/>
      <c r="I59" s="96"/>
      <c r="J59" s="96"/>
      <c r="K59" s="96"/>
    </row>
    <row r="60" spans="1:13" ht="24.95" customHeight="1">
      <c r="A60" s="1318" t="s">
        <v>166</v>
      </c>
      <c r="B60" s="1318"/>
      <c r="C60" s="1318"/>
      <c r="D60" s="1318"/>
      <c r="E60" s="1318"/>
      <c r="F60" s="1318"/>
      <c r="G60" s="1318"/>
      <c r="H60" s="1318"/>
      <c r="I60" s="1318"/>
      <c r="J60" s="1318"/>
      <c r="K60" s="1318"/>
      <c r="L60" s="54"/>
      <c r="M60" s="54"/>
    </row>
    <row r="61" spans="1:13" ht="12.75" customHeight="1">
      <c r="A61" s="99" t="s">
        <v>167</v>
      </c>
      <c r="B61" s="93"/>
      <c r="C61" s="96"/>
      <c r="D61" s="96"/>
      <c r="E61" s="96"/>
      <c r="F61" s="96"/>
      <c r="G61" s="96"/>
      <c r="H61" s="96"/>
      <c r="I61" s="96"/>
      <c r="J61" s="96"/>
      <c r="K61" s="96"/>
    </row>
    <row r="62" spans="1:13" ht="12.75" customHeight="1">
      <c r="A62" s="99" t="s">
        <v>168</v>
      </c>
      <c r="B62" s="99"/>
      <c r="C62" s="99"/>
      <c r="D62" s="99"/>
      <c r="E62" s="99"/>
      <c r="F62" s="99"/>
      <c r="G62" s="99"/>
      <c r="H62" s="99"/>
      <c r="I62" s="99"/>
      <c r="J62" s="99"/>
      <c r="K62" s="99"/>
    </row>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5">
    <mergeCell ref="A60:K60"/>
    <mergeCell ref="A57:K57"/>
    <mergeCell ref="A2:A4"/>
    <mergeCell ref="B2:B4"/>
    <mergeCell ref="C2:I2"/>
  </mergeCells>
  <phoneticPr fontId="17"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98" enableFormatConditionsCalculation="0">
    <tabColor indexed="42"/>
    <pageSetUpPr fitToPage="1"/>
  </sheetPr>
  <dimension ref="A1:K83"/>
  <sheetViews>
    <sheetView showGridLines="0" showZeros="0" workbookViewId="0">
      <pane xSplit="2" ySplit="5" topLeftCell="C30" activePane="bottomRight" state="frozen"/>
      <selection activeCell="M17" sqref="M17:M63"/>
      <selection pane="topRight" activeCell="M17" sqref="M17:M63"/>
      <selection pane="bottomLeft" activeCell="M17" sqref="M17:M63"/>
      <selection pane="bottomRight" activeCell="I22" sqref="I22"/>
    </sheetView>
  </sheetViews>
  <sheetFormatPr defaultRowHeight="12.7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"&amp;ADJB8&amp;" - "&amp;Date</f>
        <v>LIM333 Greater Tzaneen - Supporting Table SB8 Consolidated Adjustments Budget - expenditure on transfers and grant programme - 26 FEBRUARY 2014</v>
      </c>
      <c r="B1" s="5"/>
      <c r="C1" s="58"/>
    </row>
    <row r="2" spans="1:11" ht="25.5">
      <c r="A2" s="1322" t="str">
        <f>desc</f>
        <v>Description</v>
      </c>
      <c r="B2" s="1322" t="str">
        <f>head27</f>
        <v>Ref</v>
      </c>
      <c r="C2" s="1319" t="str">
        <f>Head2</f>
        <v>Budget Year 2013/14</v>
      </c>
      <c r="D2" s="1320"/>
      <c r="E2" s="1320"/>
      <c r="F2" s="1320"/>
      <c r="G2" s="1320"/>
      <c r="H2" s="1320"/>
      <c r="I2" s="1320"/>
      <c r="J2" s="103" t="str">
        <f>Head10</f>
        <v>Budget Year +1 2014/15</v>
      </c>
      <c r="K2" s="61" t="str">
        <f>Head11</f>
        <v>Budget Year +2 2015/16</v>
      </c>
    </row>
    <row r="3" spans="1:11" ht="25.5">
      <c r="A3" s="1323"/>
      <c r="B3" s="132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323"/>
      <c r="B4" s="1323"/>
      <c r="C4" s="65"/>
      <c r="D4" s="15">
        <v>2</v>
      </c>
      <c r="E4" s="15">
        <v>3</v>
      </c>
      <c r="F4" s="15">
        <v>4</v>
      </c>
      <c r="G4" s="15">
        <v>5</v>
      </c>
      <c r="H4" s="15">
        <v>6</v>
      </c>
      <c r="I4" s="15">
        <v>7</v>
      </c>
      <c r="J4" s="15"/>
      <c r="K4" s="17"/>
    </row>
    <row r="5" spans="1:11">
      <c r="A5" s="66" t="s">
        <v>643</v>
      </c>
      <c r="B5" s="104"/>
      <c r="C5" s="67" t="s">
        <v>583</v>
      </c>
      <c r="D5" s="68" t="s">
        <v>584</v>
      </c>
      <c r="E5" s="69" t="s">
        <v>585</v>
      </c>
      <c r="F5" s="69" t="s">
        <v>586</v>
      </c>
      <c r="G5" s="70" t="s">
        <v>587</v>
      </c>
      <c r="H5" s="70" t="s">
        <v>588</v>
      </c>
      <c r="I5" s="70" t="s">
        <v>589</v>
      </c>
      <c r="J5" s="70"/>
      <c r="K5" s="71"/>
    </row>
    <row r="6" spans="1:11" ht="12.75" customHeight="1">
      <c r="A6" s="138" t="s">
        <v>169</v>
      </c>
      <c r="B6" s="73">
        <v>1</v>
      </c>
      <c r="C6" s="240"/>
      <c r="D6" s="75"/>
      <c r="E6" s="75"/>
      <c r="F6" s="75"/>
      <c r="G6" s="75"/>
      <c r="H6" s="75"/>
      <c r="I6" s="75"/>
      <c r="J6" s="75"/>
      <c r="K6" s="76"/>
    </row>
    <row r="7" spans="1:11" ht="5.0999999999999996" customHeight="1">
      <c r="A7" s="138"/>
      <c r="B7" s="73"/>
      <c r="C7" s="240"/>
      <c r="D7" s="75"/>
      <c r="E7" s="75"/>
      <c r="F7" s="75"/>
      <c r="G7" s="75"/>
      <c r="H7" s="75"/>
      <c r="I7" s="75"/>
      <c r="J7" s="75"/>
      <c r="K7" s="76"/>
    </row>
    <row r="8" spans="1:11" ht="12.75" customHeight="1">
      <c r="A8" s="506" t="s">
        <v>1259</v>
      </c>
      <c r="B8" s="73"/>
      <c r="C8" s="240"/>
      <c r="D8" s="75"/>
      <c r="E8" s="75"/>
      <c r="F8" s="75"/>
      <c r="G8" s="75"/>
      <c r="H8" s="75"/>
      <c r="I8" s="75"/>
      <c r="J8" s="75"/>
      <c r="K8" s="76"/>
    </row>
    <row r="9" spans="1:11" ht="12.75" customHeight="1">
      <c r="A9" s="138" t="s">
        <v>155</v>
      </c>
      <c r="B9" s="73"/>
      <c r="C9" s="496">
        <f t="shared" ref="C9:K9" si="0">SUM(C10:C16)</f>
        <v>238841880</v>
      </c>
      <c r="D9" s="140">
        <f t="shared" si="0"/>
        <v>0</v>
      </c>
      <c r="E9" s="140">
        <f t="shared" si="0"/>
        <v>0</v>
      </c>
      <c r="F9" s="140">
        <f t="shared" si="0"/>
        <v>0</v>
      </c>
      <c r="G9" s="140">
        <f t="shared" si="0"/>
        <v>5226000</v>
      </c>
      <c r="H9" s="140">
        <f t="shared" si="0"/>
        <v>5226000</v>
      </c>
      <c r="I9" s="140">
        <f t="shared" si="0"/>
        <v>244067880</v>
      </c>
      <c r="J9" s="140">
        <f t="shared" si="0"/>
        <v>267059040</v>
      </c>
      <c r="K9" s="141">
        <f t="shared" si="0"/>
        <v>321359360</v>
      </c>
    </row>
    <row r="10" spans="1:11" ht="12.75" customHeight="1">
      <c r="A10" s="512" t="str">
        <f>'SB7'!A10</f>
        <v>Local Government Equitable Share</v>
      </c>
      <c r="B10" s="73"/>
      <c r="C10" s="498">
        <v>211762000</v>
      </c>
      <c r="D10" s="499"/>
      <c r="E10" s="499"/>
      <c r="F10" s="499"/>
      <c r="G10" s="499"/>
      <c r="H10" s="500">
        <f t="shared" ref="H10:H16" si="1">SUM(E10:G10)</f>
        <v>0</v>
      </c>
      <c r="I10" s="500">
        <f t="shared" ref="I10:I16" si="2">IF(D10=0,C10+H10,D10+H10)</f>
        <v>211762000</v>
      </c>
      <c r="J10" s="499">
        <v>236039000</v>
      </c>
      <c r="K10" s="499">
        <v>289971000</v>
      </c>
    </row>
    <row r="11" spans="1:11" ht="12.75" customHeight="1">
      <c r="A11" s="512" t="str">
        <f>'SB7'!A11</f>
        <v xml:space="preserve">Finance Management </v>
      </c>
      <c r="B11" s="73"/>
      <c r="C11" s="400">
        <v>1550000</v>
      </c>
      <c r="D11" s="109"/>
      <c r="E11" s="109"/>
      <c r="F11" s="109"/>
      <c r="G11" s="109"/>
      <c r="H11" s="75">
        <f t="shared" si="1"/>
        <v>0</v>
      </c>
      <c r="I11" s="75">
        <f t="shared" si="2"/>
        <v>1550000</v>
      </c>
      <c r="J11" s="109">
        <v>1600000</v>
      </c>
      <c r="K11" s="109">
        <v>1650000</v>
      </c>
    </row>
    <row r="12" spans="1:11" ht="12.75" customHeight="1">
      <c r="A12" s="512" t="str">
        <f>'SB7'!A12</f>
        <v>Municipal Systems Improvement</v>
      </c>
      <c r="B12" s="73"/>
      <c r="C12" s="400">
        <v>890000</v>
      </c>
      <c r="D12" s="109"/>
      <c r="E12" s="109"/>
      <c r="F12" s="109"/>
      <c r="G12" s="109">
        <v>26000</v>
      </c>
      <c r="H12" s="75">
        <f t="shared" si="1"/>
        <v>26000</v>
      </c>
      <c r="I12" s="75">
        <f t="shared" si="2"/>
        <v>916000</v>
      </c>
      <c r="J12" s="109">
        <v>934000</v>
      </c>
      <c r="K12" s="109">
        <v>967000</v>
      </c>
    </row>
    <row r="13" spans="1:11" ht="12.75" customHeight="1">
      <c r="A13" s="512" t="str">
        <f>'SB7'!A13</f>
        <v>Integrated National Electrification Programme</v>
      </c>
      <c r="B13" s="73"/>
      <c r="C13" s="400">
        <v>20000000</v>
      </c>
      <c r="D13" s="109"/>
      <c r="E13" s="109"/>
      <c r="F13" s="109"/>
      <c r="G13" s="109">
        <v>5200000</v>
      </c>
      <c r="H13" s="75">
        <f t="shared" si="1"/>
        <v>5200000</v>
      </c>
      <c r="I13" s="75">
        <f t="shared" si="2"/>
        <v>25200000</v>
      </c>
      <c r="J13" s="109">
        <v>25000000</v>
      </c>
      <c r="K13" s="109">
        <v>25000000</v>
      </c>
    </row>
    <row r="14" spans="1:11" ht="12.75" customHeight="1">
      <c r="A14" s="512" t="str">
        <f>'SB7'!A14</f>
        <v>EPWP Incentive</v>
      </c>
      <c r="B14" s="73"/>
      <c r="C14" s="400">
        <v>1710000</v>
      </c>
      <c r="D14" s="109"/>
      <c r="E14" s="109"/>
      <c r="F14" s="109"/>
      <c r="G14" s="109"/>
      <c r="H14" s="75">
        <f t="shared" si="1"/>
        <v>0</v>
      </c>
      <c r="I14" s="75">
        <f t="shared" si="2"/>
        <v>1710000</v>
      </c>
      <c r="J14" s="109"/>
      <c r="K14" s="109"/>
    </row>
    <row r="15" spans="1:11" ht="12.75" customHeight="1">
      <c r="A15" s="512">
        <f>'SB7'!A15</f>
        <v>0</v>
      </c>
      <c r="B15" s="73"/>
      <c r="C15" s="400"/>
      <c r="D15" s="109"/>
      <c r="E15" s="109"/>
      <c r="F15" s="109"/>
      <c r="G15" s="109"/>
      <c r="H15" s="75">
        <f t="shared" si="1"/>
        <v>0</v>
      </c>
      <c r="I15" s="75">
        <f t="shared" si="2"/>
        <v>0</v>
      </c>
      <c r="J15" s="109"/>
      <c r="K15" s="109"/>
    </row>
    <row r="16" spans="1:11" ht="12.75" customHeight="1">
      <c r="A16" s="830" t="str">
        <f>'SB7'!A16</f>
        <v>MIG Operation/NDPG</v>
      </c>
      <c r="B16" s="73"/>
      <c r="C16" s="502">
        <v>2929880</v>
      </c>
      <c r="D16" s="143"/>
      <c r="E16" s="143"/>
      <c r="F16" s="143"/>
      <c r="G16" s="143"/>
      <c r="H16" s="144">
        <f t="shared" si="1"/>
        <v>0</v>
      </c>
      <c r="I16" s="144">
        <f t="shared" si="2"/>
        <v>2929880</v>
      </c>
      <c r="J16" s="143">
        <v>3486040</v>
      </c>
      <c r="K16" s="143">
        <v>3771360</v>
      </c>
    </row>
    <row r="17" spans="1:11" ht="12.75" customHeight="1">
      <c r="A17" s="513" t="s">
        <v>156</v>
      </c>
      <c r="B17" s="73"/>
      <c r="C17" s="496">
        <f t="shared" ref="C17:K17" si="3">SUM(C18:C22)</f>
        <v>26000</v>
      </c>
      <c r="D17" s="140">
        <f t="shared" si="3"/>
        <v>0</v>
      </c>
      <c r="E17" s="140">
        <f t="shared" si="3"/>
        <v>0</v>
      </c>
      <c r="F17" s="140">
        <f t="shared" si="3"/>
        <v>0</v>
      </c>
      <c r="G17" s="140">
        <f t="shared" si="3"/>
        <v>0</v>
      </c>
      <c r="H17" s="140">
        <f t="shared" si="3"/>
        <v>0</v>
      </c>
      <c r="I17" s="140">
        <f t="shared" si="3"/>
        <v>26000</v>
      </c>
      <c r="J17" s="140">
        <f t="shared" si="3"/>
        <v>27274</v>
      </c>
      <c r="K17" s="141">
        <f t="shared" si="3"/>
        <v>28610</v>
      </c>
    </row>
    <row r="18" spans="1:11" ht="12.75" customHeight="1">
      <c r="A18" s="512">
        <f>'SB7'!A18</f>
        <v>0</v>
      </c>
      <c r="B18" s="73"/>
      <c r="C18" s="498"/>
      <c r="D18" s="503"/>
      <c r="E18" s="499"/>
      <c r="F18" s="499"/>
      <c r="G18" s="499"/>
      <c r="H18" s="500">
        <f>SUM(E18:G18)</f>
        <v>0</v>
      </c>
      <c r="I18" s="500">
        <f>IF(D18=0,C18+H18,D18+H18)</f>
        <v>0</v>
      </c>
      <c r="J18" s="499"/>
      <c r="K18" s="501"/>
    </row>
    <row r="19" spans="1:11" ht="12.75" customHeight="1">
      <c r="A19" s="512">
        <f>'SB7'!A19</f>
        <v>0</v>
      </c>
      <c r="B19" s="73"/>
      <c r="C19" s="400"/>
      <c r="D19" s="129"/>
      <c r="E19" s="109"/>
      <c r="F19" s="109"/>
      <c r="G19" s="109"/>
      <c r="H19" s="75">
        <f>SUM(E19:G19)</f>
        <v>0</v>
      </c>
      <c r="I19" s="75">
        <f>IF(D19=0,C19+H19,D19+H19)</f>
        <v>0</v>
      </c>
      <c r="J19" s="109"/>
      <c r="K19" s="110"/>
    </row>
    <row r="20" spans="1:11" ht="12.75" customHeight="1">
      <c r="A20" s="512">
        <f>'SB7'!A20</f>
        <v>0</v>
      </c>
      <c r="B20" s="73"/>
      <c r="C20" s="400"/>
      <c r="D20" s="129"/>
      <c r="E20" s="109"/>
      <c r="F20" s="109"/>
      <c r="G20" s="109"/>
      <c r="H20" s="75">
        <f>SUM(E20:G20)</f>
        <v>0</v>
      </c>
      <c r="I20" s="75">
        <f>IF(D20=0,C20+H20,D20+H20)</f>
        <v>0</v>
      </c>
      <c r="J20" s="109"/>
      <c r="K20" s="110"/>
    </row>
    <row r="21" spans="1:11" ht="12.75" customHeight="1">
      <c r="A21" s="512">
        <f>'SB7'!A21</f>
        <v>0</v>
      </c>
      <c r="B21" s="73"/>
      <c r="C21" s="400"/>
      <c r="D21" s="129"/>
      <c r="E21" s="109"/>
      <c r="F21" s="109"/>
      <c r="G21" s="109"/>
      <c r="H21" s="75">
        <f>SUM(E21:G21)</f>
        <v>0</v>
      </c>
      <c r="I21" s="75">
        <f>IF(D21=0,C21+H21,D21+H21)</f>
        <v>0</v>
      </c>
      <c r="J21" s="109"/>
      <c r="K21" s="110"/>
    </row>
    <row r="22" spans="1:11" ht="12.75" customHeight="1">
      <c r="A22" s="512" t="str">
        <f>'SB7'!A22</f>
        <v>SETA</v>
      </c>
      <c r="B22" s="73"/>
      <c r="C22" s="502">
        <v>26000</v>
      </c>
      <c r="D22" s="142"/>
      <c r="E22" s="143"/>
      <c r="F22" s="143"/>
      <c r="G22" s="143"/>
      <c r="H22" s="144">
        <f>SUM(E22:G22)</f>
        <v>0</v>
      </c>
      <c r="I22" s="144">
        <f>IF(D22=0,C22+H22,D22+H22)</f>
        <v>26000</v>
      </c>
      <c r="J22" s="142">
        <v>27274</v>
      </c>
      <c r="K22" s="143">
        <v>28610</v>
      </c>
    </row>
    <row r="23" spans="1:11" ht="12.75" customHeight="1">
      <c r="A23" s="513" t="s">
        <v>157</v>
      </c>
      <c r="B23" s="73"/>
      <c r="C23" s="496">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c r="A24" s="514" t="str">
        <f>'SB7'!A24</f>
        <v>[insert description]</v>
      </c>
      <c r="B24" s="73"/>
      <c r="C24" s="498"/>
      <c r="D24" s="499"/>
      <c r="E24" s="499"/>
      <c r="F24" s="499"/>
      <c r="G24" s="499"/>
      <c r="H24" s="500">
        <f>SUM(E24:G24)</f>
        <v>0</v>
      </c>
      <c r="I24" s="500">
        <f>IF(D24=0,C24+H24,D24+H24)</f>
        <v>0</v>
      </c>
      <c r="J24" s="499"/>
      <c r="K24" s="501"/>
    </row>
    <row r="25" spans="1:11" ht="12.75" customHeight="1">
      <c r="A25" s="514">
        <f>'SB7'!A25</f>
        <v>0</v>
      </c>
      <c r="B25" s="73"/>
      <c r="C25" s="502"/>
      <c r="D25" s="143"/>
      <c r="E25" s="143"/>
      <c r="F25" s="143"/>
      <c r="G25" s="143"/>
      <c r="H25" s="144">
        <f>SUM(E25:G25)</f>
        <v>0</v>
      </c>
      <c r="I25" s="144">
        <f>IF(D25=0,C25+H25,D25+H25)</f>
        <v>0</v>
      </c>
      <c r="J25" s="143"/>
      <c r="K25" s="112"/>
    </row>
    <row r="26" spans="1:11" ht="12.75" customHeight="1">
      <c r="A26" s="513" t="s">
        <v>159</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514" t="str">
        <f>'SB7'!A27</f>
        <v>[insert description]</v>
      </c>
      <c r="B27" s="73"/>
      <c r="C27" s="498"/>
      <c r="D27" s="499"/>
      <c r="E27" s="499"/>
      <c r="F27" s="499"/>
      <c r="G27" s="499"/>
      <c r="H27" s="500">
        <f>SUM(E27:G27)</f>
        <v>0</v>
      </c>
      <c r="I27" s="500">
        <f>IF(D27=0,C27+H27,D27+H27)</f>
        <v>0</v>
      </c>
      <c r="J27" s="499"/>
      <c r="K27" s="501"/>
    </row>
    <row r="28" spans="1:11" ht="12.75" customHeight="1">
      <c r="A28" s="514">
        <f>'SB7'!A28</f>
        <v>0</v>
      </c>
      <c r="B28" s="73"/>
      <c r="C28" s="502"/>
      <c r="D28" s="143"/>
      <c r="E28" s="143"/>
      <c r="F28" s="143"/>
      <c r="G28" s="143"/>
      <c r="H28" s="144">
        <f>SUM(E28:G28)</f>
        <v>0</v>
      </c>
      <c r="I28" s="144">
        <f>IF(D28=0,C28+H28,D28+H28)</f>
        <v>0</v>
      </c>
      <c r="J28" s="143"/>
      <c r="K28" s="112"/>
    </row>
    <row r="29" spans="1:11" ht="12.75" customHeight="1">
      <c r="A29" s="504" t="s">
        <v>1260</v>
      </c>
      <c r="B29" s="79"/>
      <c r="C29" s="505">
        <f t="shared" ref="C29:K29" si="6">C9+C17+C23+C26</f>
        <v>238867880</v>
      </c>
      <c r="D29" s="81">
        <f t="shared" si="6"/>
        <v>0</v>
      </c>
      <c r="E29" s="81">
        <f t="shared" si="6"/>
        <v>0</v>
      </c>
      <c r="F29" s="81">
        <f t="shared" si="6"/>
        <v>0</v>
      </c>
      <c r="G29" s="81">
        <f t="shared" si="6"/>
        <v>5226000</v>
      </c>
      <c r="H29" s="81">
        <f t="shared" si="6"/>
        <v>5226000</v>
      </c>
      <c r="I29" s="81">
        <f>I9+I17+I23+I26</f>
        <v>244093880</v>
      </c>
      <c r="J29" s="81">
        <f t="shared" si="6"/>
        <v>267086314</v>
      </c>
      <c r="K29" s="82">
        <f t="shared" si="6"/>
        <v>321387970</v>
      </c>
    </row>
    <row r="30" spans="1:11" ht="5.0999999999999996" customHeight="1">
      <c r="A30" s="135"/>
      <c r="B30" s="73"/>
      <c r="C30" s="240"/>
      <c r="D30" s="75"/>
      <c r="E30" s="75"/>
      <c r="F30" s="75"/>
      <c r="G30" s="75"/>
      <c r="H30" s="75"/>
      <c r="I30" s="75"/>
      <c r="J30" s="75"/>
      <c r="K30" s="76"/>
    </row>
    <row r="31" spans="1:11" ht="12.75" customHeight="1">
      <c r="A31" s="506" t="s">
        <v>1261</v>
      </c>
      <c r="B31" s="73"/>
      <c r="C31" s="240"/>
      <c r="D31" s="75"/>
      <c r="E31" s="75"/>
      <c r="F31" s="75"/>
      <c r="G31" s="75"/>
      <c r="H31" s="75"/>
      <c r="I31" s="75"/>
      <c r="J31" s="75"/>
      <c r="K31" s="76"/>
    </row>
    <row r="32" spans="1:11" ht="12.75" customHeight="1">
      <c r="A32" s="513" t="s">
        <v>155</v>
      </c>
      <c r="B32" s="73"/>
      <c r="C32" s="496">
        <f t="shared" ref="C32:K32" si="7">SUM(C33:C38)</f>
        <v>80317120</v>
      </c>
      <c r="D32" s="140">
        <f t="shared" si="7"/>
        <v>0</v>
      </c>
      <c r="E32" s="140">
        <f t="shared" si="7"/>
        <v>0</v>
      </c>
      <c r="F32" s="140">
        <f t="shared" si="7"/>
        <v>20350000</v>
      </c>
      <c r="G32" s="140">
        <f t="shared" si="7"/>
        <v>5700000</v>
      </c>
      <c r="H32" s="140">
        <f t="shared" si="7"/>
        <v>26050000</v>
      </c>
      <c r="I32" s="140">
        <f t="shared" si="7"/>
        <v>106367120</v>
      </c>
      <c r="J32" s="140">
        <f t="shared" si="7"/>
        <v>88664960</v>
      </c>
      <c r="K32" s="141">
        <f t="shared" si="7"/>
        <v>95512640</v>
      </c>
    </row>
    <row r="33" spans="1:11" ht="12.75" customHeight="1">
      <c r="A33" s="515" t="str">
        <f>'SB7'!A33</f>
        <v xml:space="preserve"> Municipal Infrastructure Grant (MIG)</v>
      </c>
      <c r="B33" s="73"/>
      <c r="C33" s="498">
        <v>70317120</v>
      </c>
      <c r="D33" s="499"/>
      <c r="E33" s="499"/>
      <c r="F33" s="499"/>
      <c r="G33" s="499">
        <v>2300000</v>
      </c>
      <c r="H33" s="500">
        <f t="shared" ref="H33:H38" si="8">SUM(E33:G33)</f>
        <v>2300000</v>
      </c>
      <c r="I33" s="500">
        <f t="shared" ref="I33:I38" si="9">IF(D33=0,C33+H33,D33+H33)</f>
        <v>72617120</v>
      </c>
      <c r="J33" s="499">
        <v>83664960</v>
      </c>
      <c r="K33" s="499">
        <v>90512640</v>
      </c>
    </row>
    <row r="34" spans="1:11" ht="12.75" customHeight="1">
      <c r="A34" s="515">
        <f>'SB7'!A34</f>
        <v>0</v>
      </c>
      <c r="B34" s="73"/>
      <c r="C34" s="400"/>
      <c r="D34" s="109"/>
      <c r="E34" s="109"/>
      <c r="F34" s="109"/>
      <c r="G34" s="109"/>
      <c r="H34" s="75">
        <f t="shared" si="8"/>
        <v>0</v>
      </c>
      <c r="I34" s="75">
        <f t="shared" si="9"/>
        <v>0</v>
      </c>
      <c r="J34" s="109"/>
      <c r="K34" s="109"/>
    </row>
    <row r="35" spans="1:11" ht="12.75" customHeight="1">
      <c r="A35" s="515">
        <f>'SB7'!A35</f>
        <v>0</v>
      </c>
      <c r="B35" s="73"/>
      <c r="C35" s="400"/>
      <c r="D35" s="109"/>
      <c r="E35" s="109"/>
      <c r="F35" s="109"/>
      <c r="G35" s="109"/>
      <c r="H35" s="75">
        <f t="shared" si="8"/>
        <v>0</v>
      </c>
      <c r="I35" s="75">
        <f t="shared" si="9"/>
        <v>0</v>
      </c>
      <c r="J35" s="109"/>
      <c r="K35" s="109"/>
    </row>
    <row r="36" spans="1:11" ht="12.75" customHeight="1">
      <c r="A36" s="515">
        <f>'SB7'!A36</f>
        <v>0</v>
      </c>
      <c r="B36" s="73"/>
      <c r="C36" s="400"/>
      <c r="D36" s="109"/>
      <c r="E36" s="109"/>
      <c r="F36" s="109"/>
      <c r="G36" s="109"/>
      <c r="H36" s="75">
        <f t="shared" si="8"/>
        <v>0</v>
      </c>
      <c r="I36" s="75">
        <f t="shared" si="9"/>
        <v>0</v>
      </c>
      <c r="J36" s="109"/>
      <c r="K36" s="109"/>
    </row>
    <row r="37" spans="1:11" ht="12.75" customHeight="1">
      <c r="A37" s="515">
        <f>'SB7'!A37</f>
        <v>0</v>
      </c>
      <c r="B37" s="73"/>
      <c r="C37" s="400"/>
      <c r="D37" s="109"/>
      <c r="E37" s="109"/>
      <c r="F37" s="109"/>
      <c r="G37" s="109"/>
      <c r="H37" s="75">
        <f t="shared" si="8"/>
        <v>0</v>
      </c>
      <c r="I37" s="75">
        <f t="shared" si="9"/>
        <v>0</v>
      </c>
      <c r="J37" s="109"/>
      <c r="K37" s="109"/>
    </row>
    <row r="38" spans="1:11" ht="12.75" customHeight="1">
      <c r="A38" s="515" t="str">
        <f>'SB7'!A38</f>
        <v>INEP,NDPG &amp; EEDSMG</v>
      </c>
      <c r="B38" s="73"/>
      <c r="C38" s="502">
        <v>10000000</v>
      </c>
      <c r="D38" s="143"/>
      <c r="E38" s="143"/>
      <c r="F38" s="143">
        <f>18350000+2000000</f>
        <v>20350000</v>
      </c>
      <c r="G38" s="143">
        <v>3400000</v>
      </c>
      <c r="H38" s="144">
        <f t="shared" si="8"/>
        <v>23750000</v>
      </c>
      <c r="I38" s="144">
        <f t="shared" si="9"/>
        <v>33750000</v>
      </c>
      <c r="J38" s="143">
        <v>5000000</v>
      </c>
      <c r="K38" s="143">
        <v>5000000</v>
      </c>
    </row>
    <row r="39" spans="1:11" ht="12.75" customHeight="1">
      <c r="A39" s="513" t="s">
        <v>156</v>
      </c>
      <c r="B39" s="73"/>
      <c r="C39" s="496">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1" ht="12.75" customHeight="1">
      <c r="A40" s="515">
        <f>'SB7'!A40</f>
        <v>0</v>
      </c>
      <c r="B40" s="73"/>
      <c r="C40" s="498"/>
      <c r="D40" s="499"/>
      <c r="E40" s="499"/>
      <c r="F40" s="499"/>
      <c r="G40" s="499"/>
      <c r="H40" s="500">
        <f>SUM(E40:G40)</f>
        <v>0</v>
      </c>
      <c r="I40" s="500">
        <f>IF(D40=0,C40+H40,D40+H40)</f>
        <v>0</v>
      </c>
      <c r="J40" s="499"/>
      <c r="K40" s="501"/>
    </row>
    <row r="41" spans="1:11" ht="12.75" customHeight="1">
      <c r="A41" s="515" t="str">
        <f>'SB7'!A41</f>
        <v>[insert description]</v>
      </c>
      <c r="B41" s="73"/>
      <c r="C41" s="502"/>
      <c r="D41" s="143"/>
      <c r="E41" s="143"/>
      <c r="F41" s="143"/>
      <c r="G41" s="143"/>
      <c r="H41" s="144">
        <f>SUM(E41:G41)</f>
        <v>0</v>
      </c>
      <c r="I41" s="144">
        <f>IF(D41=0,C41+H41,D41+H41)</f>
        <v>0</v>
      </c>
      <c r="J41" s="143"/>
      <c r="K41" s="112"/>
    </row>
    <row r="42" spans="1:11" ht="12.75" customHeight="1">
      <c r="A42" s="513" t="s">
        <v>157</v>
      </c>
      <c r="B42" s="73"/>
      <c r="C42" s="496">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1" ht="12.75" customHeight="1">
      <c r="A43" s="514" t="str">
        <f>'SB7'!A43</f>
        <v>[insert description]</v>
      </c>
      <c r="B43" s="73"/>
      <c r="C43" s="498"/>
      <c r="D43" s="499"/>
      <c r="E43" s="499"/>
      <c r="F43" s="499"/>
      <c r="G43" s="499"/>
      <c r="H43" s="500">
        <f>SUM(E43:G43)</f>
        <v>0</v>
      </c>
      <c r="I43" s="500">
        <f>IF(D43=0,C43+H43,D43+H43)</f>
        <v>0</v>
      </c>
      <c r="J43" s="499"/>
      <c r="K43" s="501"/>
    </row>
    <row r="44" spans="1:11" ht="12.75" customHeight="1">
      <c r="A44" s="514">
        <f>'SB7'!A44</f>
        <v>0</v>
      </c>
      <c r="B44" s="73"/>
      <c r="C44" s="502"/>
      <c r="D44" s="143"/>
      <c r="E44" s="143"/>
      <c r="F44" s="143"/>
      <c r="G44" s="143"/>
      <c r="H44" s="144">
        <f>SUM(E44:G44)</f>
        <v>0</v>
      </c>
      <c r="I44" s="144">
        <f>IF(D44=0,C44+H44,D44+H44)</f>
        <v>0</v>
      </c>
      <c r="J44" s="143"/>
      <c r="K44" s="112"/>
    </row>
    <row r="45" spans="1:11" ht="12.75" customHeight="1">
      <c r="A45" s="513" t="s">
        <v>159</v>
      </c>
      <c r="B45" s="73"/>
      <c r="C45" s="496">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1" ht="12.75" customHeight="1">
      <c r="A46" s="514" t="str">
        <f>'SB7'!A46</f>
        <v>[insert description]</v>
      </c>
      <c r="B46" s="73"/>
      <c r="C46" s="498"/>
      <c r="D46" s="499"/>
      <c r="E46" s="499"/>
      <c r="F46" s="499"/>
      <c r="G46" s="499"/>
      <c r="H46" s="500">
        <f>SUM(E46:G46)</f>
        <v>0</v>
      </c>
      <c r="I46" s="500">
        <f>IF(D46=0,C46+H46,D46+H46)</f>
        <v>0</v>
      </c>
      <c r="J46" s="499"/>
      <c r="K46" s="501"/>
    </row>
    <row r="47" spans="1:11" ht="12.75" customHeight="1">
      <c r="A47" s="514">
        <f>'SB7'!A47</f>
        <v>0</v>
      </c>
      <c r="B47" s="73"/>
      <c r="C47" s="502"/>
      <c r="D47" s="143"/>
      <c r="E47" s="143"/>
      <c r="F47" s="143"/>
      <c r="G47" s="143"/>
      <c r="H47" s="144">
        <f>SUM(E47:G47)</f>
        <v>0</v>
      </c>
      <c r="I47" s="144">
        <f>IF(D47=0,C47+H47,D47+H47)</f>
        <v>0</v>
      </c>
      <c r="J47" s="143"/>
      <c r="K47" s="112"/>
    </row>
    <row r="48" spans="1:11" ht="12.75" customHeight="1">
      <c r="A48" s="507" t="s">
        <v>1262</v>
      </c>
      <c r="B48" s="105"/>
      <c r="C48" s="304">
        <f t="shared" ref="C48:K48" si="13">C32+C39+C42+C45</f>
        <v>80317120</v>
      </c>
      <c r="D48" s="150">
        <f t="shared" si="13"/>
        <v>0</v>
      </c>
      <c r="E48" s="150">
        <f t="shared" si="13"/>
        <v>0</v>
      </c>
      <c r="F48" s="150">
        <f t="shared" si="13"/>
        <v>20350000</v>
      </c>
      <c r="G48" s="150">
        <f t="shared" si="13"/>
        <v>5700000</v>
      </c>
      <c r="H48" s="150">
        <f t="shared" si="13"/>
        <v>26050000</v>
      </c>
      <c r="I48" s="150">
        <f t="shared" si="13"/>
        <v>106367120</v>
      </c>
      <c r="J48" s="150">
        <f t="shared" si="13"/>
        <v>88664960</v>
      </c>
      <c r="K48" s="151">
        <f t="shared" si="13"/>
        <v>95512640</v>
      </c>
    </row>
    <row r="49" spans="1:11" ht="5.0999999999999996" customHeight="1">
      <c r="A49" s="135"/>
      <c r="B49" s="73"/>
      <c r="C49" s="240"/>
      <c r="D49" s="75"/>
      <c r="E49" s="75"/>
      <c r="F49" s="75"/>
      <c r="G49" s="75"/>
      <c r="H49" s="75"/>
      <c r="I49" s="75"/>
      <c r="J49" s="75"/>
      <c r="K49" s="76"/>
    </row>
    <row r="50" spans="1:11" ht="12.75" customHeight="1">
      <c r="A50" s="516" t="s">
        <v>1262</v>
      </c>
      <c r="B50" s="155"/>
      <c r="C50" s="115">
        <f t="shared" ref="C50:K50" si="14">C29+C48</f>
        <v>319185000</v>
      </c>
      <c r="D50" s="116">
        <f t="shared" si="14"/>
        <v>0</v>
      </c>
      <c r="E50" s="116">
        <f t="shared" si="14"/>
        <v>0</v>
      </c>
      <c r="F50" s="116">
        <f t="shared" si="14"/>
        <v>20350000</v>
      </c>
      <c r="G50" s="116">
        <f t="shared" si="14"/>
        <v>10926000</v>
      </c>
      <c r="H50" s="116">
        <f t="shared" si="14"/>
        <v>31276000</v>
      </c>
      <c r="I50" s="116">
        <f t="shared" si="14"/>
        <v>350461000</v>
      </c>
      <c r="J50" s="116">
        <f t="shared" si="14"/>
        <v>355751274</v>
      </c>
      <c r="K50" s="117">
        <f t="shared" si="14"/>
        <v>416900610</v>
      </c>
    </row>
    <row r="51" spans="1:11" ht="12.75" customHeight="1">
      <c r="A51" s="157" t="str">
        <f>head27a</f>
        <v>References</v>
      </c>
      <c r="B51" s="93"/>
      <c r="C51" s="99"/>
      <c r="D51" s="99"/>
      <c r="E51" s="99"/>
      <c r="F51" s="99"/>
      <c r="G51" s="99"/>
      <c r="H51" s="99"/>
      <c r="I51" s="99"/>
      <c r="J51" s="99"/>
      <c r="K51" s="99"/>
    </row>
    <row r="52" spans="1:11" ht="12.75" customHeight="1">
      <c r="A52" s="99" t="s">
        <v>171</v>
      </c>
      <c r="B52" s="93"/>
      <c r="C52" s="99"/>
      <c r="D52" s="99"/>
      <c r="E52" s="99"/>
      <c r="F52" s="99"/>
      <c r="G52" s="99"/>
      <c r="H52" s="99"/>
      <c r="I52" s="99"/>
      <c r="J52" s="99"/>
      <c r="K52" s="99"/>
    </row>
    <row r="53" spans="1:11" ht="12.75" customHeight="1">
      <c r="A53" s="99" t="s">
        <v>1105</v>
      </c>
      <c r="B53" s="99"/>
      <c r="C53" s="99"/>
      <c r="D53" s="99"/>
      <c r="E53" s="99"/>
      <c r="F53" s="99"/>
      <c r="G53" s="99"/>
      <c r="H53" s="99"/>
      <c r="I53" s="99"/>
      <c r="J53" s="99"/>
      <c r="K53" s="99"/>
    </row>
    <row r="54" spans="1:11" ht="12.75" customHeight="1">
      <c r="A54" s="99" t="s">
        <v>172</v>
      </c>
      <c r="B54" s="93"/>
      <c r="C54" s="99"/>
      <c r="D54" s="99"/>
      <c r="E54" s="99"/>
      <c r="F54" s="99"/>
      <c r="G54" s="99"/>
      <c r="H54" s="99"/>
      <c r="I54" s="99"/>
      <c r="J54" s="99"/>
      <c r="K54" s="99"/>
    </row>
    <row r="55" spans="1:11" ht="12.75" customHeight="1">
      <c r="A55" s="99" t="s">
        <v>173</v>
      </c>
      <c r="B55" s="93"/>
      <c r="C55" s="99"/>
      <c r="D55" s="99"/>
      <c r="E55" s="99"/>
      <c r="F55" s="99"/>
      <c r="G55" s="99"/>
      <c r="H55" s="99"/>
      <c r="I55" s="99"/>
      <c r="J55" s="99"/>
      <c r="K55" s="99"/>
    </row>
    <row r="56" spans="1:11" ht="24.95" customHeight="1">
      <c r="A56" s="1318" t="s">
        <v>174</v>
      </c>
      <c r="B56" s="1324"/>
      <c r="C56" s="1318"/>
      <c r="D56" s="1318"/>
      <c r="E56" s="1318"/>
      <c r="F56" s="1318"/>
      <c r="G56" s="1318"/>
      <c r="H56" s="1318"/>
      <c r="I56" s="1318"/>
      <c r="J56" s="1318"/>
      <c r="K56" s="1318"/>
    </row>
    <row r="57" spans="1:11" ht="12.75" customHeight="1">
      <c r="A57" s="99" t="s">
        <v>175</v>
      </c>
      <c r="B57" s="93"/>
      <c r="C57" s="99"/>
      <c r="D57" s="99"/>
      <c r="E57" s="99"/>
      <c r="F57" s="99"/>
      <c r="G57" s="99"/>
      <c r="H57" s="99"/>
      <c r="I57" s="99"/>
      <c r="J57" s="99"/>
      <c r="K57" s="99"/>
    </row>
    <row r="58" spans="1:11" ht="12.75" customHeight="1">
      <c r="A58" s="99" t="s">
        <v>176</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mergeCells count="4">
    <mergeCell ref="A56:K56"/>
    <mergeCell ref="A2:A4"/>
    <mergeCell ref="B2:B4"/>
    <mergeCell ref="C2:I2"/>
  </mergeCells>
  <phoneticPr fontId="17"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sheetPr codeName="Sheet99" enableFormatConditionsCalculation="0">
    <tabColor indexed="42"/>
    <pageSetUpPr fitToPage="1"/>
  </sheetPr>
  <dimension ref="A1:M89"/>
  <sheetViews>
    <sheetView showGridLines="0" workbookViewId="0">
      <pane xSplit="2" ySplit="5" topLeftCell="C12" activePane="bottomRight" state="frozen"/>
      <selection activeCell="M17" sqref="M17:M63"/>
      <selection pane="topRight" activeCell="M17" sqref="M17:M63"/>
      <selection pane="bottomLeft" activeCell="M17" sqref="M17:M63"/>
      <selection pane="bottomRight" activeCell="I10" sqref="I10"/>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"&amp;ADJB9&amp;" - "&amp;Date</f>
        <v>LIM333 Greater Tzaneen - Supporting Table SB9 Consolidated Adjustments Budget - reconciliation of transfers, grant receipts, and unspent funds - 26 FEBRUARY 2014</v>
      </c>
      <c r="B1" s="5"/>
      <c r="C1" s="58"/>
    </row>
    <row r="2" spans="1:11" ht="25.5">
      <c r="A2" s="1322" t="str">
        <f>desc</f>
        <v>Description</v>
      </c>
      <c r="B2" s="1322" t="str">
        <f>head27</f>
        <v>Ref</v>
      </c>
      <c r="C2" s="1319" t="str">
        <f>Head2</f>
        <v>Budget Year 2013/14</v>
      </c>
      <c r="D2" s="1320"/>
      <c r="E2" s="1320"/>
      <c r="F2" s="1320"/>
      <c r="G2" s="1320"/>
      <c r="H2" s="1320"/>
      <c r="I2" s="1320"/>
      <c r="J2" s="103" t="str">
        <f>Head10</f>
        <v>Budget Year +1 2014/15</v>
      </c>
      <c r="K2" s="61" t="str">
        <f>Head11</f>
        <v>Budget Year +2 2015/16</v>
      </c>
    </row>
    <row r="3" spans="1:11" ht="25.5">
      <c r="A3" s="1323"/>
      <c r="B3" s="132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323"/>
      <c r="B4" s="1323"/>
      <c r="C4" s="65"/>
      <c r="D4" s="15">
        <v>2</v>
      </c>
      <c r="E4" s="15">
        <v>3</v>
      </c>
      <c r="F4" s="15">
        <v>4</v>
      </c>
      <c r="G4" s="15">
        <v>5</v>
      </c>
      <c r="H4" s="15">
        <v>6</v>
      </c>
      <c r="I4" s="15">
        <v>7</v>
      </c>
      <c r="J4" s="15"/>
      <c r="K4" s="17"/>
    </row>
    <row r="5" spans="1:11">
      <c r="A5" s="66" t="s">
        <v>643</v>
      </c>
      <c r="B5" s="104"/>
      <c r="C5" s="67" t="s">
        <v>583</v>
      </c>
      <c r="D5" s="68" t="s">
        <v>584</v>
      </c>
      <c r="E5" s="69" t="s">
        <v>585</v>
      </c>
      <c r="F5" s="69" t="s">
        <v>586</v>
      </c>
      <c r="G5" s="70" t="s">
        <v>587</v>
      </c>
      <c r="H5" s="70" t="s">
        <v>588</v>
      </c>
      <c r="I5" s="70" t="s">
        <v>589</v>
      </c>
      <c r="J5" s="70"/>
      <c r="K5" s="71"/>
    </row>
    <row r="6" spans="1:11" ht="12.75" customHeight="1">
      <c r="A6" s="125" t="s">
        <v>1251</v>
      </c>
      <c r="B6" s="73"/>
      <c r="C6" s="240"/>
      <c r="D6" s="75"/>
      <c r="E6" s="75"/>
      <c r="F6" s="75"/>
      <c r="G6" s="75"/>
      <c r="H6" s="75"/>
      <c r="I6" s="75"/>
      <c r="J6" s="75"/>
      <c r="K6" s="76"/>
    </row>
    <row r="7" spans="1:11" ht="12.75" customHeight="1">
      <c r="A7" s="165" t="s">
        <v>155</v>
      </c>
      <c r="B7" s="73"/>
      <c r="C7" s="240"/>
      <c r="D7" s="75"/>
      <c r="E7" s="75"/>
      <c r="F7" s="75"/>
      <c r="G7" s="75"/>
      <c r="H7" s="75"/>
      <c r="I7" s="75"/>
      <c r="J7" s="75"/>
      <c r="K7" s="76"/>
    </row>
    <row r="8" spans="1:11" ht="12.75" customHeight="1">
      <c r="A8" s="163" t="s">
        <v>177</v>
      </c>
      <c r="B8" s="73"/>
      <c r="C8" s="400">
        <v>3406000</v>
      </c>
      <c r="D8" s="109"/>
      <c r="E8" s="109"/>
      <c r="F8" s="109"/>
      <c r="G8" s="109">
        <f>5200000+26000</f>
        <v>5226000</v>
      </c>
      <c r="H8" s="75">
        <f>SUM(E8:G8)</f>
        <v>5226000</v>
      </c>
      <c r="I8" s="75">
        <f>IF(D8=0,C8+H8,D8+H8)</f>
        <v>8632000</v>
      </c>
      <c r="J8" s="109">
        <v>3406000</v>
      </c>
      <c r="K8" s="109">
        <v>3406000</v>
      </c>
    </row>
    <row r="9" spans="1:11" ht="12.75" customHeight="1">
      <c r="A9" s="163" t="s">
        <v>178</v>
      </c>
      <c r="B9" s="73"/>
      <c r="C9" s="400">
        <v>238841880</v>
      </c>
      <c r="D9" s="109"/>
      <c r="E9" s="109"/>
      <c r="F9" s="109"/>
      <c r="G9" s="109"/>
      <c r="H9" s="75">
        <f>SUM(E9:G9)</f>
        <v>0</v>
      </c>
      <c r="I9" s="75">
        <f>IF(D9=0,C9+H9,D9+H9)</f>
        <v>238841880</v>
      </c>
      <c r="J9" s="109">
        <v>267059040</v>
      </c>
      <c r="K9" s="109">
        <v>321359360</v>
      </c>
    </row>
    <row r="10" spans="1:11" ht="12.75" customHeight="1">
      <c r="A10" s="517" t="s">
        <v>179</v>
      </c>
      <c r="B10" s="148"/>
      <c r="C10" s="505">
        <f t="shared" ref="C10:K10" si="0">C8+C9-C11</f>
        <v>238841880</v>
      </c>
      <c r="D10" s="81">
        <f t="shared" si="0"/>
        <v>0</v>
      </c>
      <c r="E10" s="81">
        <f t="shared" si="0"/>
        <v>0</v>
      </c>
      <c r="F10" s="81">
        <f t="shared" si="0"/>
        <v>0</v>
      </c>
      <c r="G10" s="81">
        <f t="shared" si="0"/>
        <v>5226000</v>
      </c>
      <c r="H10" s="81">
        <f t="shared" si="0"/>
        <v>5226000</v>
      </c>
      <c r="I10" s="81">
        <f t="shared" si="0"/>
        <v>244067880</v>
      </c>
      <c r="J10" s="81">
        <f t="shared" si="0"/>
        <v>267059040</v>
      </c>
      <c r="K10" s="82">
        <f t="shared" si="0"/>
        <v>321359360</v>
      </c>
    </row>
    <row r="11" spans="1:11" ht="12.75" customHeight="1">
      <c r="A11" s="163" t="s">
        <v>180</v>
      </c>
      <c r="B11" s="73"/>
      <c r="C11" s="400">
        <v>3406000</v>
      </c>
      <c r="D11" s="109"/>
      <c r="E11" s="109"/>
      <c r="F11" s="109"/>
      <c r="G11" s="109"/>
      <c r="H11" s="75">
        <f>SUM(E11:G11)</f>
        <v>0</v>
      </c>
      <c r="I11" s="75">
        <f>IF(D11=0,C11+H11,D11+H11)</f>
        <v>3406000</v>
      </c>
      <c r="J11" s="109">
        <v>3406000</v>
      </c>
      <c r="K11" s="109">
        <v>3406000</v>
      </c>
    </row>
    <row r="12" spans="1:11" ht="12.75" customHeight="1">
      <c r="A12" s="518" t="s">
        <v>156</v>
      </c>
      <c r="B12" s="73"/>
      <c r="C12" s="240"/>
      <c r="D12" s="75"/>
      <c r="E12" s="75"/>
      <c r="F12" s="75"/>
      <c r="G12" s="75"/>
      <c r="H12" s="75"/>
      <c r="I12" s="75"/>
      <c r="J12" s="75"/>
      <c r="K12" s="76"/>
    </row>
    <row r="13" spans="1:11" ht="12.75" customHeight="1">
      <c r="A13" s="163" t="s">
        <v>177</v>
      </c>
      <c r="B13" s="73"/>
      <c r="C13" s="400">
        <v>994000</v>
      </c>
      <c r="D13" s="109"/>
      <c r="E13" s="109"/>
      <c r="F13" s="109"/>
      <c r="G13" s="109">
        <v>26000</v>
      </c>
      <c r="H13" s="75">
        <f>SUM(E13:G13)</f>
        <v>26000</v>
      </c>
      <c r="I13" s="75">
        <f>IF(D13=0,C13+H13,D13+H13)</f>
        <v>1020000</v>
      </c>
      <c r="J13" s="109">
        <v>994000</v>
      </c>
      <c r="K13" s="109">
        <v>994000</v>
      </c>
    </row>
    <row r="14" spans="1:11" ht="12.75" customHeight="1">
      <c r="A14" s="519" t="str">
        <f>A9</f>
        <v>Current year receipts</v>
      </c>
      <c r="B14" s="73"/>
      <c r="C14" s="400"/>
      <c r="D14" s="109"/>
      <c r="E14" s="109"/>
      <c r="F14" s="109"/>
      <c r="G14" s="109"/>
      <c r="H14" s="75">
        <f>SUM(E14:G14)</f>
        <v>0</v>
      </c>
      <c r="I14" s="75">
        <f>IF(D14=0,C14+H14,D14+H14)</f>
        <v>0</v>
      </c>
      <c r="J14" s="109"/>
      <c r="K14" s="110"/>
    </row>
    <row r="15" spans="1:11" ht="12.75" customHeight="1">
      <c r="A15" s="517" t="str">
        <f>A10</f>
        <v>Conditions met - transferred to revenue</v>
      </c>
      <c r="B15" s="148"/>
      <c r="C15" s="505">
        <f t="shared" ref="C15:K15" si="1">C13+C14-C16</f>
        <v>0</v>
      </c>
      <c r="D15" s="81">
        <f t="shared" si="1"/>
        <v>0</v>
      </c>
      <c r="E15" s="81">
        <f t="shared" si="1"/>
        <v>0</v>
      </c>
      <c r="F15" s="81">
        <f t="shared" si="1"/>
        <v>0</v>
      </c>
      <c r="G15" s="81">
        <f t="shared" si="1"/>
        <v>26000</v>
      </c>
      <c r="H15" s="81">
        <f t="shared" si="1"/>
        <v>26000</v>
      </c>
      <c r="I15" s="81">
        <f t="shared" si="1"/>
        <v>26000</v>
      </c>
      <c r="J15" s="81">
        <f t="shared" si="1"/>
        <v>0</v>
      </c>
      <c r="K15" s="82">
        <f t="shared" si="1"/>
        <v>0</v>
      </c>
    </row>
    <row r="16" spans="1:11" ht="12.75" customHeight="1">
      <c r="A16" s="519" t="str">
        <f>A11</f>
        <v>Conditions still to be met - transferred to liabilities</v>
      </c>
      <c r="B16" s="73"/>
      <c r="C16" s="400">
        <v>994000</v>
      </c>
      <c r="D16" s="109"/>
      <c r="E16" s="109"/>
      <c r="F16" s="109"/>
      <c r="G16" s="109"/>
      <c r="H16" s="75">
        <f>SUM(E16:G16)</f>
        <v>0</v>
      </c>
      <c r="I16" s="75">
        <f>IF(D16=0,C16+H16,D16+H16)</f>
        <v>994000</v>
      </c>
      <c r="J16" s="109">
        <v>994000</v>
      </c>
      <c r="K16" s="109">
        <v>994000</v>
      </c>
    </row>
    <row r="17" spans="1:11" ht="12.75" customHeight="1">
      <c r="A17" s="518" t="s">
        <v>157</v>
      </c>
      <c r="B17" s="73"/>
      <c r="C17" s="240"/>
      <c r="D17" s="75"/>
      <c r="E17" s="75"/>
      <c r="F17" s="75"/>
      <c r="G17" s="75"/>
      <c r="H17" s="75"/>
      <c r="I17" s="75"/>
      <c r="J17" s="75"/>
      <c r="K17" s="76"/>
    </row>
    <row r="18" spans="1:11" ht="12.75" customHeight="1">
      <c r="A18" s="163" t="str">
        <f>A13</f>
        <v>Balance unspent at beginning of the year</v>
      </c>
      <c r="B18" s="73"/>
      <c r="C18" s="400"/>
      <c r="D18" s="109"/>
      <c r="E18" s="109"/>
      <c r="F18" s="109"/>
      <c r="G18" s="109"/>
      <c r="H18" s="75">
        <f>SUM(E18:G18)</f>
        <v>0</v>
      </c>
      <c r="I18" s="75">
        <f>IF(D18=0,C18+H18,D18+H18)</f>
        <v>0</v>
      </c>
      <c r="J18" s="109"/>
      <c r="K18" s="110"/>
    </row>
    <row r="19" spans="1:11" ht="12.75" customHeight="1">
      <c r="A19" s="519" t="str">
        <f>A14</f>
        <v>Current year receipts</v>
      </c>
      <c r="B19" s="73"/>
      <c r="C19" s="400"/>
      <c r="D19" s="109"/>
      <c r="E19" s="109"/>
      <c r="F19" s="109"/>
      <c r="G19" s="109"/>
      <c r="H19" s="75">
        <f>SUM(E19:G19)</f>
        <v>0</v>
      </c>
      <c r="I19" s="75">
        <f>IF(D19=0,C19+H19,D19+H19)</f>
        <v>0</v>
      </c>
      <c r="J19" s="109"/>
      <c r="K19" s="110"/>
    </row>
    <row r="20" spans="1:11" ht="12.75" customHeight="1">
      <c r="A20" s="517" t="str">
        <f>A15</f>
        <v>Conditions met - transferred to revenue</v>
      </c>
      <c r="B20" s="148"/>
      <c r="C20" s="50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c r="A21" s="519" t="str">
        <f>A16</f>
        <v>Conditions still to be met - transferred to liabilities</v>
      </c>
      <c r="B21" s="73"/>
      <c r="C21" s="400"/>
      <c r="D21" s="109"/>
      <c r="E21" s="109"/>
      <c r="F21" s="109"/>
      <c r="G21" s="109"/>
      <c r="H21" s="75">
        <f>SUM(E21:G21)</f>
        <v>0</v>
      </c>
      <c r="I21" s="75">
        <f>IF(D21=0,C21+H21,D21+H21)</f>
        <v>0</v>
      </c>
      <c r="J21" s="109"/>
      <c r="K21" s="110"/>
    </row>
    <row r="22" spans="1:11" ht="12.75" customHeight="1">
      <c r="A22" s="518" t="s">
        <v>159</v>
      </c>
      <c r="B22" s="73"/>
      <c r="C22" s="240"/>
      <c r="D22" s="75"/>
      <c r="E22" s="75"/>
      <c r="F22" s="75"/>
      <c r="G22" s="75"/>
      <c r="H22" s="75"/>
      <c r="I22" s="75"/>
      <c r="J22" s="75"/>
      <c r="K22" s="76"/>
    </row>
    <row r="23" spans="1:11" ht="12.75" customHeight="1">
      <c r="A23" s="519" t="str">
        <f>A13</f>
        <v>Balance unspent at beginning of the year</v>
      </c>
      <c r="B23" s="73"/>
      <c r="C23" s="400">
        <v>1092810</v>
      </c>
      <c r="D23" s="109"/>
      <c r="E23" s="109"/>
      <c r="F23" s="109"/>
      <c r="G23" s="109"/>
      <c r="H23" s="75">
        <f>SUM(E23:G23)</f>
        <v>0</v>
      </c>
      <c r="I23" s="75">
        <f>IF(D23=0,C23+H23,D23+H23)</f>
        <v>1092810</v>
      </c>
      <c r="J23" s="109">
        <v>1092810</v>
      </c>
      <c r="K23" s="109">
        <v>1092810</v>
      </c>
    </row>
    <row r="24" spans="1:11" ht="12.75" customHeight="1">
      <c r="A24" s="519" t="str">
        <f>A14</f>
        <v>Current year receipts</v>
      </c>
      <c r="B24" s="73"/>
      <c r="C24" s="400"/>
      <c r="D24" s="109"/>
      <c r="E24" s="109"/>
      <c r="F24" s="109"/>
      <c r="G24" s="109"/>
      <c r="H24" s="75">
        <f>SUM(E24:G24)</f>
        <v>0</v>
      </c>
      <c r="I24" s="75">
        <f>IF(D24=0,C24+H24,D24+H24)</f>
        <v>0</v>
      </c>
      <c r="J24" s="109"/>
      <c r="K24" s="110"/>
    </row>
    <row r="25" spans="1:11" ht="12.75" customHeight="1">
      <c r="A25" s="517" t="str">
        <f>A15</f>
        <v>Conditions met - transferred to revenue</v>
      </c>
      <c r="B25" s="148"/>
      <c r="C25" s="50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19" t="str">
        <f>A16</f>
        <v>Conditions still to be met - transferred to liabilities</v>
      </c>
      <c r="B26" s="73"/>
      <c r="C26" s="400">
        <v>1092810</v>
      </c>
      <c r="D26" s="109"/>
      <c r="E26" s="109"/>
      <c r="F26" s="109"/>
      <c r="G26" s="109"/>
      <c r="H26" s="75">
        <f>SUM(E26:G26)</f>
        <v>0</v>
      </c>
      <c r="I26" s="75">
        <f>IF(D26=0,C26+H26,D26+H26)</f>
        <v>1092810</v>
      </c>
      <c r="J26" s="109">
        <v>1092810</v>
      </c>
      <c r="K26" s="109">
        <v>1092810</v>
      </c>
    </row>
    <row r="27" spans="1:11" ht="12.75" customHeight="1">
      <c r="A27" s="162" t="s">
        <v>1252</v>
      </c>
      <c r="B27" s="79"/>
      <c r="C27" s="505">
        <f t="shared" ref="C27:K27" si="4">C10+C15+C20+C25</f>
        <v>238841880</v>
      </c>
      <c r="D27" s="81">
        <f t="shared" si="4"/>
        <v>0</v>
      </c>
      <c r="E27" s="81">
        <f t="shared" si="4"/>
        <v>0</v>
      </c>
      <c r="F27" s="81">
        <f t="shared" si="4"/>
        <v>0</v>
      </c>
      <c r="G27" s="81">
        <f t="shared" si="4"/>
        <v>5252000</v>
      </c>
      <c r="H27" s="81">
        <f t="shared" si="4"/>
        <v>5252000</v>
      </c>
      <c r="I27" s="81">
        <f t="shared" si="4"/>
        <v>244093880</v>
      </c>
      <c r="J27" s="81">
        <f t="shared" si="4"/>
        <v>267059040</v>
      </c>
      <c r="K27" s="82">
        <f t="shared" si="4"/>
        <v>321359360</v>
      </c>
    </row>
    <row r="28" spans="1:11" ht="12.75" customHeight="1">
      <c r="A28" s="162" t="s">
        <v>1253</v>
      </c>
      <c r="B28" s="79">
        <v>2</v>
      </c>
      <c r="C28" s="505">
        <f t="shared" ref="C28:K28" si="5">C11+C16+C21+C26</f>
        <v>5492810</v>
      </c>
      <c r="D28" s="81">
        <f t="shared" si="5"/>
        <v>0</v>
      </c>
      <c r="E28" s="81">
        <f t="shared" si="5"/>
        <v>0</v>
      </c>
      <c r="F28" s="81">
        <f t="shared" si="5"/>
        <v>0</v>
      </c>
      <c r="G28" s="81">
        <f t="shared" si="5"/>
        <v>0</v>
      </c>
      <c r="H28" s="81">
        <f t="shared" si="5"/>
        <v>0</v>
      </c>
      <c r="I28" s="81">
        <f t="shared" si="5"/>
        <v>5492810</v>
      </c>
      <c r="J28" s="81">
        <f t="shared" si="5"/>
        <v>5492810</v>
      </c>
      <c r="K28" s="82">
        <f t="shared" si="5"/>
        <v>5492810</v>
      </c>
    </row>
    <row r="29" spans="1:11" ht="5.0999999999999996" customHeight="1">
      <c r="A29" s="135"/>
      <c r="B29" s="73"/>
      <c r="C29" s="240"/>
      <c r="D29" s="75"/>
      <c r="E29" s="75"/>
      <c r="F29" s="75"/>
      <c r="G29" s="75"/>
      <c r="H29" s="75"/>
      <c r="I29" s="75"/>
      <c r="J29" s="75"/>
      <c r="K29" s="76"/>
    </row>
    <row r="30" spans="1:11" ht="12.75" customHeight="1">
      <c r="A30" s="125" t="s">
        <v>1254</v>
      </c>
      <c r="B30" s="73"/>
      <c r="C30" s="240"/>
      <c r="D30" s="75"/>
      <c r="E30" s="75"/>
      <c r="F30" s="75"/>
      <c r="G30" s="75"/>
      <c r="H30" s="75"/>
      <c r="I30" s="75"/>
      <c r="J30" s="75"/>
      <c r="K30" s="76"/>
    </row>
    <row r="31" spans="1:11" ht="12.75" customHeight="1">
      <c r="A31" s="518" t="str">
        <f>A7</f>
        <v>National Government:</v>
      </c>
      <c r="B31" s="73"/>
      <c r="C31" s="240"/>
      <c r="D31" s="75"/>
      <c r="E31" s="75"/>
      <c r="F31" s="75"/>
      <c r="G31" s="75"/>
      <c r="H31" s="75"/>
      <c r="I31" s="75"/>
      <c r="J31" s="75"/>
      <c r="K31" s="76"/>
    </row>
    <row r="32" spans="1:11" ht="12.75" customHeight="1">
      <c r="A32" s="163" t="s">
        <v>177</v>
      </c>
      <c r="B32" s="73"/>
      <c r="C32" s="400">
        <v>30476459</v>
      </c>
      <c r="D32" s="109"/>
      <c r="E32" s="109"/>
      <c r="F32" s="109"/>
      <c r="G32" s="109">
        <f>2300000+3400000</f>
        <v>5700000</v>
      </c>
      <c r="H32" s="75">
        <f>SUM(E32:G32)</f>
        <v>5700000</v>
      </c>
      <c r="I32" s="75">
        <f>IF(D32=0,C32+H32,D32+H32)</f>
        <v>36176459</v>
      </c>
      <c r="J32" s="109">
        <v>30476459</v>
      </c>
      <c r="K32" s="109">
        <v>30476459</v>
      </c>
    </row>
    <row r="33" spans="1:11" ht="12.75" customHeight="1">
      <c r="A33" s="163" t="s">
        <v>178</v>
      </c>
      <c r="B33" s="73"/>
      <c r="C33" s="400">
        <v>80317120</v>
      </c>
      <c r="D33" s="109"/>
      <c r="E33" s="109"/>
      <c r="F33" s="109">
        <v>20350000</v>
      </c>
      <c r="G33" s="109"/>
      <c r="H33" s="75">
        <f>SUM(E33:G33)</f>
        <v>20350000</v>
      </c>
      <c r="I33" s="75">
        <f>IF(D33=0,C33+H33,D33+H33)</f>
        <v>100667120</v>
      </c>
      <c r="J33" s="109">
        <v>88664960</v>
      </c>
      <c r="K33" s="109">
        <v>95512640</v>
      </c>
    </row>
    <row r="34" spans="1:11" ht="12.75" customHeight="1">
      <c r="A34" s="517" t="s">
        <v>179</v>
      </c>
      <c r="B34" s="148"/>
      <c r="C34" s="505">
        <f t="shared" ref="C34:K34" si="6">C32+C33-C35</f>
        <v>80317120</v>
      </c>
      <c r="D34" s="81">
        <f t="shared" si="6"/>
        <v>0</v>
      </c>
      <c r="E34" s="81">
        <f t="shared" si="6"/>
        <v>0</v>
      </c>
      <c r="F34" s="81">
        <f t="shared" si="6"/>
        <v>20350000</v>
      </c>
      <c r="G34" s="81">
        <f t="shared" si="6"/>
        <v>5700000</v>
      </c>
      <c r="H34" s="81">
        <f t="shared" si="6"/>
        <v>26050000</v>
      </c>
      <c r="I34" s="81">
        <f t="shared" si="6"/>
        <v>106367120</v>
      </c>
      <c r="J34" s="81">
        <f t="shared" si="6"/>
        <v>88664960</v>
      </c>
      <c r="K34" s="82">
        <f t="shared" si="6"/>
        <v>95512640</v>
      </c>
    </row>
    <row r="35" spans="1:11" ht="12.75" customHeight="1">
      <c r="A35" s="163" t="s">
        <v>180</v>
      </c>
      <c r="B35" s="73"/>
      <c r="C35" s="400">
        <v>30476459</v>
      </c>
      <c r="D35" s="109"/>
      <c r="E35" s="109"/>
      <c r="F35" s="109"/>
      <c r="G35" s="109"/>
      <c r="H35" s="75">
        <f>SUM(E35:G35)</f>
        <v>0</v>
      </c>
      <c r="I35" s="75">
        <f>IF(D35=0,C35+H35,D35+H35)</f>
        <v>30476459</v>
      </c>
      <c r="J35" s="109">
        <v>30476459</v>
      </c>
      <c r="K35" s="109">
        <v>30476459</v>
      </c>
    </row>
    <row r="36" spans="1:11" ht="12.75" customHeight="1">
      <c r="A36" s="518" t="s">
        <v>156</v>
      </c>
      <c r="B36" s="73"/>
      <c r="C36" s="240"/>
      <c r="D36" s="75"/>
      <c r="E36" s="75"/>
      <c r="F36" s="75"/>
      <c r="G36" s="75"/>
      <c r="H36" s="75"/>
      <c r="I36" s="75"/>
      <c r="J36" s="75"/>
      <c r="K36" s="76"/>
    </row>
    <row r="37" spans="1:11" ht="12.75" customHeight="1">
      <c r="A37" s="163" t="s">
        <v>177</v>
      </c>
      <c r="B37" s="73"/>
      <c r="C37" s="400"/>
      <c r="D37" s="109"/>
      <c r="E37" s="109"/>
      <c r="F37" s="109"/>
      <c r="G37" s="109"/>
      <c r="H37" s="75">
        <f>SUM(E37:G37)</f>
        <v>0</v>
      </c>
      <c r="I37" s="75">
        <f>IF(D37=0,C37+H37,D37+H37)</f>
        <v>0</v>
      </c>
      <c r="J37" s="109"/>
      <c r="K37" s="110"/>
    </row>
    <row r="38" spans="1:11" ht="12.75" customHeight="1">
      <c r="A38" s="519" t="str">
        <f>A33</f>
        <v>Current year receipts</v>
      </c>
      <c r="B38" s="73"/>
      <c r="C38" s="400"/>
      <c r="D38" s="109"/>
      <c r="E38" s="109"/>
      <c r="F38" s="109"/>
      <c r="G38" s="109"/>
      <c r="H38" s="75">
        <f>SUM(E38:G38)</f>
        <v>0</v>
      </c>
      <c r="I38" s="75">
        <f>IF(D38=0,C38+H38,D38+H38)</f>
        <v>0</v>
      </c>
      <c r="J38" s="109"/>
      <c r="K38" s="110"/>
    </row>
    <row r="39" spans="1:11" ht="12.75" customHeight="1">
      <c r="A39" s="517" t="str">
        <f>A34</f>
        <v>Conditions met - transferred to revenue</v>
      </c>
      <c r="B39" s="148"/>
      <c r="C39" s="50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c r="A40" s="519" t="str">
        <f>A35</f>
        <v>Conditions still to be met - transferred to liabilities</v>
      </c>
      <c r="B40" s="73"/>
      <c r="C40" s="970"/>
      <c r="D40" s="956"/>
      <c r="E40" s="956"/>
      <c r="F40" s="956"/>
      <c r="G40" s="956"/>
      <c r="H40" s="75">
        <f>SUM(E40:G40)</f>
        <v>0</v>
      </c>
      <c r="I40" s="75">
        <f>IF(D40=0,C40+H40,D40+H40)</f>
        <v>0</v>
      </c>
      <c r="J40" s="956"/>
      <c r="K40" s="957"/>
    </row>
    <row r="41" spans="1:11" ht="12.75" customHeight="1">
      <c r="A41" s="518" t="s">
        <v>157</v>
      </c>
      <c r="B41" s="73"/>
      <c r="C41" s="240"/>
      <c r="D41" s="75"/>
      <c r="E41" s="75"/>
      <c r="F41" s="75"/>
      <c r="G41" s="75"/>
      <c r="H41" s="75"/>
      <c r="I41" s="75"/>
      <c r="J41" s="75"/>
      <c r="K41" s="76"/>
    </row>
    <row r="42" spans="1:11" ht="12.75" customHeight="1">
      <c r="A42" s="163" t="str">
        <f>A37</f>
        <v>Balance unspent at beginning of the year</v>
      </c>
      <c r="B42" s="73"/>
      <c r="C42" s="400"/>
      <c r="D42" s="109"/>
      <c r="E42" s="109"/>
      <c r="F42" s="109"/>
      <c r="G42" s="109"/>
      <c r="H42" s="75">
        <f>SUM(E42:G42)</f>
        <v>0</v>
      </c>
      <c r="I42" s="75">
        <f>IF(D42=0,C42+H42,D42+H42)</f>
        <v>0</v>
      </c>
      <c r="J42" s="109"/>
      <c r="K42" s="110"/>
    </row>
    <row r="43" spans="1:11" ht="12.75" customHeight="1">
      <c r="A43" s="519" t="str">
        <f>A38</f>
        <v>Current year receipts</v>
      </c>
      <c r="B43" s="73"/>
      <c r="C43" s="400"/>
      <c r="D43" s="109"/>
      <c r="E43" s="109"/>
      <c r="F43" s="109"/>
      <c r="G43" s="109"/>
      <c r="H43" s="75">
        <f>SUM(E43:G43)</f>
        <v>0</v>
      </c>
      <c r="I43" s="75">
        <f>IF(D43=0,C43+H43,D43+H43)</f>
        <v>0</v>
      </c>
      <c r="J43" s="109"/>
      <c r="K43" s="110"/>
    </row>
    <row r="44" spans="1:11" ht="12.75" customHeight="1">
      <c r="A44" s="517" t="str">
        <f>A39</f>
        <v>Conditions met - transferred to revenue</v>
      </c>
      <c r="B44" s="148"/>
      <c r="C44" s="50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19" t="str">
        <f>A40</f>
        <v>Conditions still to be met - transferred to liabilities</v>
      </c>
      <c r="B45" s="73"/>
      <c r="C45" s="400"/>
      <c r="D45" s="109"/>
      <c r="E45" s="109"/>
      <c r="F45" s="109"/>
      <c r="G45" s="109"/>
      <c r="H45" s="75">
        <f>SUM(E45:G45)</f>
        <v>0</v>
      </c>
      <c r="I45" s="75">
        <f>IF(D45=0,C45+H45,D45+H45)</f>
        <v>0</v>
      </c>
      <c r="J45" s="109"/>
      <c r="K45" s="110"/>
    </row>
    <row r="46" spans="1:11" ht="12.75" customHeight="1">
      <c r="A46" s="518" t="s">
        <v>159</v>
      </c>
      <c r="B46" s="73"/>
      <c r="C46" s="240"/>
      <c r="D46" s="75"/>
      <c r="E46" s="75"/>
      <c r="F46" s="75"/>
      <c r="G46" s="75"/>
      <c r="H46" s="75"/>
      <c r="I46" s="75"/>
      <c r="J46" s="75"/>
      <c r="K46" s="76"/>
    </row>
    <row r="47" spans="1:11" ht="12.75" customHeight="1">
      <c r="A47" s="519" t="str">
        <f>A37</f>
        <v>Balance unspent at beginning of the year</v>
      </c>
      <c r="B47" s="73"/>
      <c r="C47" s="400"/>
      <c r="D47" s="109"/>
      <c r="E47" s="109"/>
      <c r="F47" s="109"/>
      <c r="G47" s="109"/>
      <c r="H47" s="75">
        <f>SUM(E47:G47)</f>
        <v>0</v>
      </c>
      <c r="I47" s="75">
        <f>IF(D47=0,C47+H47,D47+H47)</f>
        <v>0</v>
      </c>
      <c r="J47" s="109"/>
      <c r="K47" s="110"/>
    </row>
    <row r="48" spans="1:11" ht="12.75" customHeight="1">
      <c r="A48" s="519" t="str">
        <f>A38</f>
        <v>Current year receipts</v>
      </c>
      <c r="B48" s="73"/>
      <c r="C48" s="400"/>
      <c r="D48" s="109"/>
      <c r="E48" s="109"/>
      <c r="F48" s="109"/>
      <c r="G48" s="109"/>
      <c r="H48" s="75">
        <f>SUM(E48:G48)</f>
        <v>0</v>
      </c>
      <c r="I48" s="75">
        <f>IF(D48=0,C48+H48,D48+H48)</f>
        <v>0</v>
      </c>
      <c r="J48" s="109"/>
      <c r="K48" s="110"/>
    </row>
    <row r="49" spans="1:13" ht="12.75" customHeight="1">
      <c r="A49" s="517" t="str">
        <f>A39</f>
        <v>Conditions met - transferred to revenue</v>
      </c>
      <c r="B49" s="148"/>
      <c r="C49" s="50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19" t="str">
        <f>A40</f>
        <v>Conditions still to be met - transferred to liabilities</v>
      </c>
      <c r="B50" s="73"/>
      <c r="C50" s="400"/>
      <c r="D50" s="109"/>
      <c r="E50" s="109"/>
      <c r="F50" s="109"/>
      <c r="G50" s="109"/>
      <c r="H50" s="75">
        <f>SUM(E50:G50)</f>
        <v>0</v>
      </c>
      <c r="I50" s="75">
        <f>IF(D50=0,C50+H50,D50+H50)</f>
        <v>0</v>
      </c>
      <c r="J50" s="109"/>
      <c r="K50" s="110"/>
    </row>
    <row r="51" spans="1:13" ht="12.75" customHeight="1">
      <c r="A51" s="162" t="s">
        <v>1255</v>
      </c>
      <c r="B51" s="79"/>
      <c r="C51" s="505">
        <f t="shared" ref="C51:K51" si="10">C34+C39+C44+C49</f>
        <v>80317120</v>
      </c>
      <c r="D51" s="81">
        <f t="shared" si="10"/>
        <v>0</v>
      </c>
      <c r="E51" s="81">
        <f t="shared" si="10"/>
        <v>0</v>
      </c>
      <c r="F51" s="81">
        <f t="shared" si="10"/>
        <v>20350000</v>
      </c>
      <c r="G51" s="81">
        <f t="shared" si="10"/>
        <v>5700000</v>
      </c>
      <c r="H51" s="81">
        <f t="shared" si="10"/>
        <v>26050000</v>
      </c>
      <c r="I51" s="81">
        <f t="shared" si="10"/>
        <v>106367120</v>
      </c>
      <c r="J51" s="81">
        <f t="shared" si="10"/>
        <v>88664960</v>
      </c>
      <c r="K51" s="82">
        <f t="shared" si="10"/>
        <v>95512640</v>
      </c>
    </row>
    <row r="52" spans="1:13" ht="12.75" customHeight="1">
      <c r="A52" s="162" t="s">
        <v>1256</v>
      </c>
      <c r="B52" s="79"/>
      <c r="C52" s="505">
        <f t="shared" ref="C52:K52" si="11">C35+C40+C45+C50</f>
        <v>30476459</v>
      </c>
      <c r="D52" s="81">
        <f t="shared" si="11"/>
        <v>0</v>
      </c>
      <c r="E52" s="81">
        <f t="shared" si="11"/>
        <v>0</v>
      </c>
      <c r="F52" s="81">
        <f t="shared" si="11"/>
        <v>0</v>
      </c>
      <c r="G52" s="81">
        <f t="shared" si="11"/>
        <v>0</v>
      </c>
      <c r="H52" s="81">
        <f t="shared" si="11"/>
        <v>0</v>
      </c>
      <c r="I52" s="81">
        <f t="shared" si="11"/>
        <v>30476459</v>
      </c>
      <c r="J52" s="81">
        <f t="shared" si="11"/>
        <v>30476459</v>
      </c>
      <c r="K52" s="82">
        <f t="shared" si="11"/>
        <v>30476459</v>
      </c>
    </row>
    <row r="53" spans="1:13" ht="5.0999999999999996" customHeight="1">
      <c r="A53" s="513"/>
      <c r="B53" s="73"/>
      <c r="C53" s="240"/>
      <c r="D53" s="75"/>
      <c r="E53" s="75"/>
      <c r="F53" s="75"/>
      <c r="G53" s="75"/>
      <c r="H53" s="75"/>
      <c r="I53" s="75"/>
      <c r="J53" s="75"/>
      <c r="K53" s="76"/>
    </row>
    <row r="54" spans="1:13" ht="12.75" customHeight="1">
      <c r="A54" s="162" t="s">
        <v>1257</v>
      </c>
      <c r="B54" s="79"/>
      <c r="C54" s="505">
        <f t="shared" ref="C54:K54" si="12">C27+C51</f>
        <v>319159000</v>
      </c>
      <c r="D54" s="81">
        <f t="shared" si="12"/>
        <v>0</v>
      </c>
      <c r="E54" s="81">
        <f t="shared" si="12"/>
        <v>0</v>
      </c>
      <c r="F54" s="81">
        <f t="shared" si="12"/>
        <v>20350000</v>
      </c>
      <c r="G54" s="81">
        <f t="shared" si="12"/>
        <v>10952000</v>
      </c>
      <c r="H54" s="81">
        <f t="shared" si="12"/>
        <v>31302000</v>
      </c>
      <c r="I54" s="81">
        <f t="shared" si="12"/>
        <v>350461000</v>
      </c>
      <c r="J54" s="81">
        <f t="shared" si="12"/>
        <v>355724000</v>
      </c>
      <c r="K54" s="82">
        <f t="shared" si="12"/>
        <v>416872000</v>
      </c>
    </row>
    <row r="55" spans="1:13" ht="12.75" customHeight="1">
      <c r="A55" s="297" t="s">
        <v>1258</v>
      </c>
      <c r="B55" s="88"/>
      <c r="C55" s="89">
        <f t="shared" ref="C55:K55" si="13">C28+C52</f>
        <v>35969269</v>
      </c>
      <c r="D55" s="90">
        <f t="shared" si="13"/>
        <v>0</v>
      </c>
      <c r="E55" s="90">
        <f t="shared" si="13"/>
        <v>0</v>
      </c>
      <c r="F55" s="90">
        <f t="shared" si="13"/>
        <v>0</v>
      </c>
      <c r="G55" s="90">
        <f t="shared" si="13"/>
        <v>0</v>
      </c>
      <c r="H55" s="90">
        <f t="shared" si="13"/>
        <v>0</v>
      </c>
      <c r="I55" s="90">
        <f t="shared" si="13"/>
        <v>35969269</v>
      </c>
      <c r="J55" s="90">
        <f t="shared" si="13"/>
        <v>35969269</v>
      </c>
      <c r="K55" s="91">
        <f t="shared" si="13"/>
        <v>35969269</v>
      </c>
    </row>
    <row r="56" spans="1:13" ht="5.25" customHeight="1">
      <c r="A56" s="520"/>
      <c r="B56" s="810"/>
      <c r="C56" s="521"/>
      <c r="D56" s="521"/>
      <c r="E56" s="521"/>
      <c r="F56" s="521"/>
      <c r="G56" s="521"/>
      <c r="H56" s="521"/>
      <c r="I56" s="521"/>
      <c r="J56" s="521"/>
      <c r="K56" s="521"/>
    </row>
    <row r="57" spans="1:13" ht="12.75" customHeight="1">
      <c r="A57" s="157" t="str">
        <f>head27a</f>
        <v>References</v>
      </c>
      <c r="B57" s="93"/>
      <c r="C57" s="99"/>
      <c r="D57" s="99"/>
      <c r="E57" s="99"/>
      <c r="F57" s="99"/>
      <c r="G57" s="99"/>
      <c r="H57" s="99"/>
      <c r="I57" s="99"/>
      <c r="J57" s="99"/>
      <c r="K57" s="99"/>
    </row>
    <row r="58" spans="1:13" ht="12.75" customHeight="1">
      <c r="A58" s="99" t="s">
        <v>181</v>
      </c>
      <c r="B58" s="157"/>
      <c r="C58" s="99"/>
      <c r="D58" s="99"/>
      <c r="E58" s="99"/>
      <c r="F58" s="99"/>
      <c r="G58" s="99"/>
      <c r="H58" s="99"/>
      <c r="I58" s="99"/>
      <c r="J58" s="99"/>
      <c r="K58" s="99"/>
    </row>
    <row r="59" spans="1:13" ht="12.75" customHeight="1">
      <c r="A59" s="99" t="s">
        <v>182</v>
      </c>
      <c r="B59" s="157"/>
      <c r="C59" s="99"/>
      <c r="D59" s="99"/>
      <c r="E59" s="99"/>
      <c r="F59" s="99"/>
      <c r="G59" s="99"/>
      <c r="H59" s="99"/>
      <c r="I59" s="99"/>
      <c r="J59" s="99"/>
      <c r="K59" s="99"/>
    </row>
    <row r="60" spans="1:13" ht="12.75" customHeight="1">
      <c r="A60" s="1318" t="s">
        <v>1106</v>
      </c>
      <c r="B60" s="1318"/>
      <c r="C60" s="1318"/>
      <c r="D60" s="1318"/>
      <c r="E60" s="1318"/>
      <c r="F60" s="1318"/>
      <c r="G60" s="1318"/>
      <c r="H60" s="1318"/>
      <c r="I60" s="1318"/>
      <c r="J60" s="1318"/>
      <c r="K60" s="1318"/>
    </row>
    <row r="61" spans="1:13" ht="12.75" customHeight="1">
      <c r="A61" s="99" t="s">
        <v>806</v>
      </c>
      <c r="B61" s="93"/>
      <c r="C61" s="99"/>
      <c r="D61" s="99"/>
      <c r="E61" s="99"/>
      <c r="F61" s="99"/>
      <c r="G61" s="99"/>
      <c r="H61" s="99"/>
      <c r="I61" s="99"/>
      <c r="J61" s="99"/>
      <c r="K61" s="99"/>
    </row>
    <row r="62" spans="1:13" ht="12.75" customHeight="1">
      <c r="A62" s="99" t="s">
        <v>183</v>
      </c>
      <c r="B62" s="93"/>
      <c r="C62" s="99"/>
      <c r="D62" s="99"/>
      <c r="E62" s="99"/>
      <c r="F62" s="99"/>
      <c r="G62" s="99"/>
      <c r="H62" s="99"/>
      <c r="I62" s="99"/>
      <c r="J62" s="99"/>
      <c r="K62" s="99"/>
    </row>
    <row r="63" spans="1:13" ht="24.95" customHeight="1">
      <c r="A63" s="1318" t="s">
        <v>184</v>
      </c>
      <c r="B63" s="1318"/>
      <c r="C63" s="1318"/>
      <c r="D63" s="1318"/>
      <c r="E63" s="1318"/>
      <c r="F63" s="1318"/>
      <c r="G63" s="1318"/>
      <c r="H63" s="1318"/>
      <c r="I63" s="1318"/>
      <c r="J63" s="1318"/>
      <c r="K63" s="1318"/>
      <c r="L63" s="54"/>
      <c r="M63" s="54"/>
    </row>
    <row r="64" spans="1:13" ht="12.75" customHeight="1">
      <c r="A64" s="99" t="s">
        <v>175</v>
      </c>
      <c r="B64" s="93"/>
      <c r="C64" s="99"/>
      <c r="D64" s="99"/>
      <c r="E64" s="99"/>
      <c r="F64" s="99"/>
      <c r="G64" s="99"/>
      <c r="H64" s="99"/>
      <c r="I64" s="99"/>
      <c r="J64" s="99"/>
      <c r="K64" s="99"/>
    </row>
    <row r="65" spans="1:11" ht="12.75" customHeight="1">
      <c r="A65" s="99" t="s">
        <v>176</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mergeCells count="5">
    <mergeCell ref="A60:K60"/>
    <mergeCell ref="A63:K63"/>
    <mergeCell ref="C2:I2"/>
    <mergeCell ref="A2:A4"/>
    <mergeCell ref="B2:B4"/>
  </mergeCells>
  <phoneticPr fontId="17"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sheetPr codeName="Sheet100" enableFormatConditionsCalculation="0">
    <tabColor indexed="42"/>
    <pageSetUpPr fitToPage="1"/>
  </sheetPr>
  <dimension ref="A1:M71"/>
  <sheetViews>
    <sheetView showGridLines="0" workbookViewId="0">
      <pane xSplit="2" ySplit="5" topLeftCell="C21" activePane="bottomRight" state="frozen"/>
      <selection activeCell="M17" sqref="M17:M63"/>
      <selection pane="topRight" activeCell="M17" sqref="M17:M63"/>
      <selection pane="bottomLeft" activeCell="M17" sqref="M17:M63"/>
      <selection pane="bottomRight" activeCell="I14" sqref="I14"/>
    </sheetView>
  </sheetViews>
  <sheetFormatPr defaultRowHeight="12.7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"&amp;ADJB10&amp;" - "&amp;Date</f>
        <v>LIM333 Greater Tzaneen - Supporting Table SB10 Consolidated Adjustments Budget - transfers and grants made by the municipality - 26 FEBRUARY 2014</v>
      </c>
      <c r="B1" s="5"/>
      <c r="C1" s="58"/>
    </row>
    <row r="2" spans="1:13"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3"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323"/>
      <c r="B4" s="1323"/>
      <c r="C4" s="65"/>
      <c r="D4" s="15">
        <v>6</v>
      </c>
      <c r="E4" s="15">
        <v>7</v>
      </c>
      <c r="F4" s="15">
        <v>8</v>
      </c>
      <c r="G4" s="15">
        <v>9</v>
      </c>
      <c r="H4" s="15">
        <v>10</v>
      </c>
      <c r="I4" s="15">
        <v>11</v>
      </c>
      <c r="J4" s="15">
        <v>12</v>
      </c>
      <c r="K4" s="15">
        <v>13</v>
      </c>
      <c r="L4" s="15"/>
      <c r="M4" s="17"/>
    </row>
    <row r="5" spans="1:13">
      <c r="A5" s="66" t="s">
        <v>643</v>
      </c>
      <c r="B5" s="104"/>
      <c r="C5" s="67" t="s">
        <v>583</v>
      </c>
      <c r="D5" s="68" t="s">
        <v>584</v>
      </c>
      <c r="E5" s="68" t="s">
        <v>585</v>
      </c>
      <c r="F5" s="69" t="s">
        <v>586</v>
      </c>
      <c r="G5" s="69" t="s">
        <v>587</v>
      </c>
      <c r="H5" s="69" t="s">
        <v>588</v>
      </c>
      <c r="I5" s="70" t="s">
        <v>589</v>
      </c>
      <c r="J5" s="70" t="s">
        <v>590</v>
      </c>
      <c r="K5" s="70" t="s">
        <v>591</v>
      </c>
      <c r="L5" s="70"/>
      <c r="M5" s="71"/>
    </row>
    <row r="6" spans="1:13" ht="12.75" customHeight="1">
      <c r="A6" s="125" t="s">
        <v>1609</v>
      </c>
      <c r="B6" s="73"/>
      <c r="C6" s="74"/>
      <c r="D6" s="75"/>
      <c r="E6" s="75"/>
      <c r="F6" s="75"/>
      <c r="G6" s="75"/>
      <c r="H6" s="75"/>
      <c r="I6" s="75"/>
      <c r="J6" s="75"/>
      <c r="K6" s="75"/>
      <c r="L6" s="75"/>
      <c r="M6" s="76"/>
    </row>
    <row r="7" spans="1:13" ht="12.75" customHeight="1">
      <c r="A7" s="294" t="s">
        <v>158</v>
      </c>
      <c r="B7" s="73">
        <v>1</v>
      </c>
      <c r="C7" s="129"/>
      <c r="D7" s="109"/>
      <c r="E7" s="109"/>
      <c r="F7" s="109"/>
      <c r="G7" s="109"/>
      <c r="H7" s="109"/>
      <c r="I7" s="109"/>
      <c r="J7" s="75">
        <f>SUM(E7:I7)</f>
        <v>0</v>
      </c>
      <c r="K7" s="75">
        <f>IF(D7=0,C7+J7,D7+J7)</f>
        <v>0</v>
      </c>
      <c r="L7" s="109"/>
      <c r="M7" s="110"/>
    </row>
    <row r="8" spans="1:13" ht="12.75" customHeight="1">
      <c r="A8" s="294" t="s">
        <v>158</v>
      </c>
      <c r="B8" s="73"/>
      <c r="C8" s="129"/>
      <c r="D8" s="109"/>
      <c r="E8" s="109"/>
      <c r="F8" s="109"/>
      <c r="G8" s="109"/>
      <c r="H8" s="109"/>
      <c r="I8" s="109"/>
      <c r="J8" s="75">
        <f>SUM(E8:I8)</f>
        <v>0</v>
      </c>
      <c r="K8" s="75">
        <f>IF(D8=0,C8+J8,D8+J8)</f>
        <v>0</v>
      </c>
      <c r="L8" s="109"/>
      <c r="M8" s="110"/>
    </row>
    <row r="9" spans="1:13" ht="12.75" customHeight="1">
      <c r="A9" s="294" t="s">
        <v>158</v>
      </c>
      <c r="B9" s="73"/>
      <c r="C9" s="129"/>
      <c r="D9" s="109"/>
      <c r="E9" s="109"/>
      <c r="F9" s="109"/>
      <c r="G9" s="109"/>
      <c r="H9" s="109"/>
      <c r="I9" s="109"/>
      <c r="J9" s="75">
        <f>SUM(E9:I9)</f>
        <v>0</v>
      </c>
      <c r="K9" s="75">
        <f>IF(D9=0,C9+J9,D9+J9)</f>
        <v>0</v>
      </c>
      <c r="L9" s="109"/>
      <c r="M9" s="110"/>
    </row>
    <row r="10" spans="1:13" ht="12.75" customHeight="1">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c r="A11" s="135"/>
      <c r="B11" s="73"/>
      <c r="C11" s="74"/>
      <c r="D11" s="75"/>
      <c r="E11" s="75"/>
      <c r="F11" s="75"/>
      <c r="G11" s="75"/>
      <c r="H11" s="75"/>
      <c r="I11" s="75"/>
      <c r="J11" s="75"/>
      <c r="K11" s="75"/>
      <c r="L11" s="75"/>
      <c r="M11" s="76"/>
    </row>
    <row r="12" spans="1:13" ht="12.75" customHeight="1">
      <c r="A12" s="52" t="s">
        <v>1610</v>
      </c>
      <c r="B12" s="136"/>
      <c r="C12" s="74"/>
      <c r="D12" s="75"/>
      <c r="E12" s="75"/>
      <c r="F12" s="75"/>
      <c r="G12" s="75"/>
      <c r="H12" s="75"/>
      <c r="I12" s="75"/>
      <c r="J12" s="75"/>
      <c r="K12" s="75"/>
      <c r="L12" s="75"/>
      <c r="M12" s="76"/>
    </row>
    <row r="13" spans="1:13" ht="12.75" customHeight="1">
      <c r="A13" s="1182" t="s">
        <v>1802</v>
      </c>
      <c r="B13" s="136">
        <v>2</v>
      </c>
      <c r="C13" s="129">
        <v>27262008</v>
      </c>
      <c r="D13" s="109"/>
      <c r="E13" s="109"/>
      <c r="F13" s="109"/>
      <c r="G13" s="109"/>
      <c r="H13" s="109"/>
      <c r="I13" s="109">
        <f>5200000+26000</f>
        <v>5226000</v>
      </c>
      <c r="J13" s="75">
        <f>SUM(E13:I13)</f>
        <v>5226000</v>
      </c>
      <c r="K13" s="75">
        <f>IF(D13=0,C13+J13,D13+J13)</f>
        <v>32488008</v>
      </c>
      <c r="L13" s="109">
        <v>30798496.390000001</v>
      </c>
      <c r="M13" s="109">
        <v>31041456.719999999</v>
      </c>
    </row>
    <row r="14" spans="1:13" ht="12.75" customHeight="1">
      <c r="A14" s="294" t="s">
        <v>158</v>
      </c>
      <c r="B14" s="136"/>
      <c r="C14" s="129"/>
      <c r="D14" s="109"/>
      <c r="E14" s="109"/>
      <c r="F14" s="109"/>
      <c r="G14" s="109"/>
      <c r="H14" s="109"/>
      <c r="I14" s="109"/>
      <c r="J14" s="75">
        <f>SUM(E14:I14)</f>
        <v>0</v>
      </c>
      <c r="K14" s="75">
        <f>IF(D14=0,C14+J14,D14+J14)</f>
        <v>0</v>
      </c>
      <c r="L14" s="109"/>
      <c r="M14" s="110"/>
    </row>
    <row r="15" spans="1:13" ht="12.75" customHeight="1">
      <c r="A15" s="294" t="s">
        <v>158</v>
      </c>
      <c r="B15" s="136"/>
      <c r="C15" s="129"/>
      <c r="D15" s="109"/>
      <c r="E15" s="109"/>
      <c r="F15" s="109"/>
      <c r="G15" s="109"/>
      <c r="H15" s="109"/>
      <c r="I15" s="109"/>
      <c r="J15" s="75">
        <f>SUM(E15:I15)</f>
        <v>0</v>
      </c>
      <c r="K15" s="75">
        <f>IF(D15=0,C15+J15,D15+J15)</f>
        <v>0</v>
      </c>
      <c r="L15" s="109"/>
      <c r="M15" s="110"/>
    </row>
    <row r="16" spans="1:13" ht="12.75" customHeight="1">
      <c r="A16" s="162" t="s">
        <v>186</v>
      </c>
      <c r="B16" s="79"/>
      <c r="C16" s="80">
        <f t="shared" ref="C16:M16" si="1">SUM(C13:C15)</f>
        <v>27262008</v>
      </c>
      <c r="D16" s="81">
        <f t="shared" si="1"/>
        <v>0</v>
      </c>
      <c r="E16" s="81">
        <f t="shared" si="1"/>
        <v>0</v>
      </c>
      <c r="F16" s="81">
        <f t="shared" si="1"/>
        <v>0</v>
      </c>
      <c r="G16" s="81">
        <f t="shared" si="1"/>
        <v>0</v>
      </c>
      <c r="H16" s="81">
        <f t="shared" si="1"/>
        <v>0</v>
      </c>
      <c r="I16" s="81">
        <f t="shared" si="1"/>
        <v>5226000</v>
      </c>
      <c r="J16" s="81">
        <f t="shared" si="1"/>
        <v>5226000</v>
      </c>
      <c r="K16" s="81">
        <f t="shared" si="1"/>
        <v>32488008</v>
      </c>
      <c r="L16" s="81">
        <f t="shared" si="1"/>
        <v>30798496.390000001</v>
      </c>
      <c r="M16" s="82">
        <f t="shared" si="1"/>
        <v>31041456.719999999</v>
      </c>
    </row>
    <row r="17" spans="1:13" ht="5.0999999999999996" customHeight="1">
      <c r="A17" s="51"/>
      <c r="B17" s="136"/>
      <c r="C17" s="74"/>
      <c r="D17" s="75"/>
      <c r="E17" s="75"/>
      <c r="F17" s="75"/>
      <c r="G17" s="75"/>
      <c r="H17" s="75"/>
      <c r="I17" s="75"/>
      <c r="J17" s="75"/>
      <c r="K17" s="75"/>
      <c r="L17" s="75"/>
      <c r="M17" s="76"/>
    </row>
    <row r="18" spans="1:13" ht="12.75" customHeight="1">
      <c r="A18" s="52" t="s">
        <v>1611</v>
      </c>
      <c r="B18" s="136"/>
      <c r="C18" s="74"/>
      <c r="D18" s="75"/>
      <c r="E18" s="75"/>
      <c r="F18" s="75"/>
      <c r="G18" s="75"/>
      <c r="H18" s="75"/>
      <c r="I18" s="75"/>
      <c r="J18" s="75"/>
      <c r="K18" s="75"/>
      <c r="L18" s="75"/>
      <c r="M18" s="76"/>
    </row>
    <row r="19" spans="1:13" ht="12.75" customHeight="1">
      <c r="A19" s="1183" t="s">
        <v>1803</v>
      </c>
      <c r="B19" s="136">
        <v>3</v>
      </c>
      <c r="C19" s="129">
        <v>3500000</v>
      </c>
      <c r="D19" s="109"/>
      <c r="E19" s="109"/>
      <c r="F19" s="109"/>
      <c r="G19" s="109"/>
      <c r="H19" s="109"/>
      <c r="I19" s="109"/>
      <c r="J19" s="75">
        <f>SUM(E19:I19)</f>
        <v>0</v>
      </c>
      <c r="K19" s="75">
        <f>IF(D19=0,C19+J19,D19+J19)</f>
        <v>3500000</v>
      </c>
      <c r="L19" s="109">
        <v>3671500</v>
      </c>
      <c r="M19" s="109">
        <v>3851404</v>
      </c>
    </row>
    <row r="20" spans="1:13" ht="12.75" customHeight="1">
      <c r="A20" s="294" t="s">
        <v>158</v>
      </c>
      <c r="B20" s="136"/>
      <c r="C20" s="129"/>
      <c r="D20" s="109"/>
      <c r="E20" s="109"/>
      <c r="F20" s="109"/>
      <c r="G20" s="109"/>
      <c r="H20" s="109"/>
      <c r="I20" s="109"/>
      <c r="J20" s="75">
        <f>SUM(E20:I20)</f>
        <v>0</v>
      </c>
      <c r="K20" s="75">
        <f>IF(D20=0,C20+J20,D20+J20)</f>
        <v>0</v>
      </c>
      <c r="L20" s="109"/>
      <c r="M20" s="110"/>
    </row>
    <row r="21" spans="1:13" ht="12.75" customHeight="1">
      <c r="A21" s="294" t="s">
        <v>158</v>
      </c>
      <c r="B21" s="136"/>
      <c r="C21" s="129"/>
      <c r="D21" s="109"/>
      <c r="E21" s="109"/>
      <c r="F21" s="109"/>
      <c r="G21" s="109"/>
      <c r="H21" s="109"/>
      <c r="I21" s="109"/>
      <c r="J21" s="75">
        <f>SUM(E21:I21)</f>
        <v>0</v>
      </c>
      <c r="K21" s="75">
        <f>IF(D21=0,C21+J21,D21+J21)</f>
        <v>0</v>
      </c>
      <c r="L21" s="109"/>
      <c r="M21" s="110"/>
    </row>
    <row r="22" spans="1:13" ht="12.75" customHeight="1">
      <c r="A22" s="162" t="s">
        <v>187</v>
      </c>
      <c r="B22" s="79"/>
      <c r="C22" s="80">
        <f t="shared" ref="C22:M22" si="2">SUM(C19:C21)</f>
        <v>3500000</v>
      </c>
      <c r="D22" s="81">
        <f t="shared" si="2"/>
        <v>0</v>
      </c>
      <c r="E22" s="81">
        <f t="shared" si="2"/>
        <v>0</v>
      </c>
      <c r="F22" s="81">
        <f t="shared" si="2"/>
        <v>0</v>
      </c>
      <c r="G22" s="81">
        <f t="shared" si="2"/>
        <v>0</v>
      </c>
      <c r="H22" s="81">
        <f t="shared" si="2"/>
        <v>0</v>
      </c>
      <c r="I22" s="81">
        <f t="shared" si="2"/>
        <v>0</v>
      </c>
      <c r="J22" s="81">
        <f t="shared" si="2"/>
        <v>0</v>
      </c>
      <c r="K22" s="81">
        <f t="shared" si="2"/>
        <v>3500000</v>
      </c>
      <c r="L22" s="81">
        <f t="shared" si="2"/>
        <v>3671500</v>
      </c>
      <c r="M22" s="82">
        <f t="shared" si="2"/>
        <v>3851404</v>
      </c>
    </row>
    <row r="23" spans="1:13" ht="5.0999999999999996" customHeight="1">
      <c r="A23" s="50"/>
      <c r="B23" s="136"/>
      <c r="C23" s="74"/>
      <c r="D23" s="75"/>
      <c r="E23" s="75"/>
      <c r="F23" s="75"/>
      <c r="G23" s="75"/>
      <c r="H23" s="75"/>
      <c r="I23" s="75"/>
      <c r="J23" s="75"/>
      <c r="K23" s="75"/>
      <c r="L23" s="75"/>
      <c r="M23" s="76"/>
    </row>
    <row r="24" spans="1:13" ht="12.75" customHeight="1">
      <c r="A24" s="52" t="s">
        <v>1612</v>
      </c>
      <c r="B24" s="136"/>
      <c r="C24" s="74"/>
      <c r="D24" s="75"/>
      <c r="E24" s="75"/>
      <c r="F24" s="75"/>
      <c r="G24" s="75"/>
      <c r="H24" s="75"/>
      <c r="I24" s="75"/>
      <c r="J24" s="75"/>
      <c r="K24" s="75"/>
      <c r="L24" s="75"/>
      <c r="M24" s="76"/>
    </row>
    <row r="25" spans="1:13" ht="12.75" customHeight="1">
      <c r="A25" s="1184" t="s">
        <v>1804</v>
      </c>
      <c r="B25" s="136">
        <v>4</v>
      </c>
      <c r="C25" s="129">
        <v>33326</v>
      </c>
      <c r="D25" s="109"/>
      <c r="E25" s="109"/>
      <c r="F25" s="109"/>
      <c r="G25" s="109"/>
      <c r="H25" s="109"/>
      <c r="I25" s="109"/>
      <c r="J25" s="75">
        <f>SUM(E25:I25)</f>
        <v>0</v>
      </c>
      <c r="K25" s="75">
        <f>IF(D25=0,C25+J25,D25+J25)</f>
        <v>33326</v>
      </c>
      <c r="L25" s="109">
        <v>34959</v>
      </c>
      <c r="M25" s="109">
        <v>36672</v>
      </c>
    </row>
    <row r="26" spans="1:13" ht="12.75" customHeight="1">
      <c r="A26" s="1185" t="s">
        <v>1805</v>
      </c>
      <c r="B26" s="136"/>
      <c r="C26" s="129">
        <v>106644</v>
      </c>
      <c r="D26" s="109"/>
      <c r="E26" s="109"/>
      <c r="F26" s="109"/>
      <c r="G26" s="109"/>
      <c r="H26" s="109"/>
      <c r="I26" s="109"/>
      <c r="J26" s="75">
        <f>SUM(E26:I26)</f>
        <v>0</v>
      </c>
      <c r="K26" s="75">
        <f>IF(D26=0,C26+J26,D26+J26)</f>
        <v>106644</v>
      </c>
      <c r="L26" s="109">
        <v>111870</v>
      </c>
      <c r="M26" s="109">
        <v>117351</v>
      </c>
    </row>
    <row r="27" spans="1:13" ht="12.75" customHeight="1">
      <c r="A27" s="1185" t="s">
        <v>1806</v>
      </c>
      <c r="B27" s="136"/>
      <c r="C27" s="129">
        <v>646717</v>
      </c>
      <c r="D27" s="109"/>
      <c r="E27" s="109"/>
      <c r="F27" s="109"/>
      <c r="G27" s="109"/>
      <c r="H27" s="109"/>
      <c r="I27" s="109"/>
      <c r="J27" s="75">
        <f>SUM(E27:I27)</f>
        <v>0</v>
      </c>
      <c r="K27" s="75">
        <f>IF(D27=0,C27+J27,D27+J27)</f>
        <v>646717</v>
      </c>
      <c r="L27" s="109">
        <v>678406</v>
      </c>
      <c r="M27" s="109">
        <v>711648</v>
      </c>
    </row>
    <row r="28" spans="1:13" ht="12.75" customHeight="1">
      <c r="A28" s="162" t="s">
        <v>1613</v>
      </c>
      <c r="B28" s="79"/>
      <c r="C28" s="80">
        <f t="shared" ref="C28:M28" si="3">SUM(C25:C27)</f>
        <v>786687</v>
      </c>
      <c r="D28" s="81">
        <f t="shared" si="3"/>
        <v>0</v>
      </c>
      <c r="E28" s="81">
        <f t="shared" si="3"/>
        <v>0</v>
      </c>
      <c r="F28" s="81">
        <f t="shared" si="3"/>
        <v>0</v>
      </c>
      <c r="G28" s="81">
        <f t="shared" si="3"/>
        <v>0</v>
      </c>
      <c r="H28" s="81">
        <f t="shared" si="3"/>
        <v>0</v>
      </c>
      <c r="I28" s="81">
        <f t="shared" si="3"/>
        <v>0</v>
      </c>
      <c r="J28" s="81">
        <f t="shared" si="3"/>
        <v>0</v>
      </c>
      <c r="K28" s="81">
        <f t="shared" si="3"/>
        <v>786687</v>
      </c>
      <c r="L28" s="81">
        <f t="shared" si="3"/>
        <v>825235</v>
      </c>
      <c r="M28" s="82">
        <f t="shared" si="3"/>
        <v>865671</v>
      </c>
    </row>
    <row r="29" spans="1:13" ht="5.0999999999999996" customHeight="1">
      <c r="A29" s="50"/>
      <c r="B29" s="136"/>
      <c r="C29" s="74"/>
      <c r="D29" s="75"/>
      <c r="E29" s="75"/>
      <c r="F29" s="75"/>
      <c r="G29" s="75"/>
      <c r="H29" s="75"/>
      <c r="I29" s="75"/>
      <c r="J29" s="75"/>
      <c r="K29" s="75"/>
      <c r="L29" s="75"/>
      <c r="M29" s="76"/>
    </row>
    <row r="30" spans="1:13" ht="12.75" customHeight="1">
      <c r="A30" s="585" t="s">
        <v>1614</v>
      </c>
      <c r="B30" s="105">
        <v>5</v>
      </c>
      <c r="C30" s="149">
        <f t="shared" ref="C30:M30" si="4">C10+C16+C22+C28</f>
        <v>31548695</v>
      </c>
      <c r="D30" s="150">
        <f t="shared" si="4"/>
        <v>0</v>
      </c>
      <c r="E30" s="150">
        <f t="shared" si="4"/>
        <v>0</v>
      </c>
      <c r="F30" s="150">
        <f t="shared" si="4"/>
        <v>0</v>
      </c>
      <c r="G30" s="150">
        <f t="shared" si="4"/>
        <v>0</v>
      </c>
      <c r="H30" s="150">
        <f t="shared" si="4"/>
        <v>0</v>
      </c>
      <c r="I30" s="150">
        <f t="shared" si="4"/>
        <v>5226000</v>
      </c>
      <c r="J30" s="150">
        <f t="shared" si="4"/>
        <v>5226000</v>
      </c>
      <c r="K30" s="150">
        <f t="shared" si="4"/>
        <v>36774695</v>
      </c>
      <c r="L30" s="150">
        <f t="shared" si="4"/>
        <v>35295231.390000001</v>
      </c>
      <c r="M30" s="151">
        <f t="shared" si="4"/>
        <v>35758531.719999999</v>
      </c>
    </row>
    <row r="31" spans="1:13" ht="12.75" customHeight="1">
      <c r="A31" s="1118"/>
      <c r="B31" s="1119"/>
      <c r="C31" s="1120"/>
      <c r="D31" s="1120"/>
      <c r="E31" s="1120"/>
      <c r="F31" s="1120"/>
      <c r="G31" s="1120"/>
      <c r="H31" s="1120"/>
      <c r="I31" s="1120"/>
      <c r="J31" s="1120"/>
      <c r="K31" s="1120"/>
      <c r="L31" s="1120"/>
      <c r="M31" s="1120"/>
    </row>
    <row r="32" spans="1:13" ht="12.75" customHeight="1">
      <c r="A32" s="125" t="s">
        <v>1615</v>
      </c>
      <c r="B32" s="73"/>
      <c r="C32" s="74"/>
      <c r="D32" s="75"/>
      <c r="E32" s="75"/>
      <c r="F32" s="75"/>
      <c r="G32" s="75"/>
      <c r="H32" s="75"/>
      <c r="I32" s="75"/>
      <c r="J32" s="75"/>
      <c r="K32" s="75"/>
      <c r="L32" s="75"/>
      <c r="M32" s="76"/>
    </row>
    <row r="33" spans="1:13" ht="12.75" customHeight="1">
      <c r="A33" s="294" t="s">
        <v>158</v>
      </c>
      <c r="B33" s="73">
        <v>1</v>
      </c>
      <c r="C33" s="129"/>
      <c r="D33" s="109"/>
      <c r="E33" s="109"/>
      <c r="F33" s="109"/>
      <c r="G33" s="109"/>
      <c r="H33" s="109"/>
      <c r="I33" s="109"/>
      <c r="J33" s="75">
        <f>SUM(E33:I33)</f>
        <v>0</v>
      </c>
      <c r="K33" s="75">
        <f>IF(D33=0,C33+J33,D33+J33)</f>
        <v>0</v>
      </c>
      <c r="L33" s="109"/>
      <c r="M33" s="110"/>
    </row>
    <row r="34" spans="1:13" ht="12.75" customHeight="1">
      <c r="A34" s="294" t="s">
        <v>158</v>
      </c>
      <c r="B34" s="73"/>
      <c r="C34" s="129"/>
      <c r="D34" s="109"/>
      <c r="E34" s="109"/>
      <c r="F34" s="109"/>
      <c r="G34" s="109"/>
      <c r="H34" s="109"/>
      <c r="I34" s="109"/>
      <c r="J34" s="75">
        <f>SUM(E34:I34)</f>
        <v>0</v>
      </c>
      <c r="K34" s="75">
        <f>IF(D34=0,C34+J34,D34+J34)</f>
        <v>0</v>
      </c>
      <c r="L34" s="109"/>
      <c r="M34" s="110"/>
    </row>
    <row r="35" spans="1:13" ht="12.75" customHeight="1">
      <c r="A35" s="294" t="s">
        <v>158</v>
      </c>
      <c r="B35" s="73"/>
      <c r="C35" s="129"/>
      <c r="D35" s="109"/>
      <c r="E35" s="109"/>
      <c r="F35" s="109"/>
      <c r="G35" s="109"/>
      <c r="H35" s="109"/>
      <c r="I35" s="109"/>
      <c r="J35" s="75">
        <f>SUM(E35:I35)</f>
        <v>0</v>
      </c>
      <c r="K35" s="75">
        <f>IF(D35=0,C35+J35,D35+J35)</f>
        <v>0</v>
      </c>
      <c r="L35" s="109"/>
      <c r="M35" s="110"/>
    </row>
    <row r="36" spans="1:13" ht="12.75" customHeight="1">
      <c r="A36" s="162"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c r="A37" s="135"/>
      <c r="B37" s="73"/>
      <c r="C37" s="74"/>
      <c r="D37" s="75"/>
      <c r="E37" s="75"/>
      <c r="F37" s="75"/>
      <c r="G37" s="75"/>
      <c r="H37" s="75"/>
      <c r="I37" s="75"/>
      <c r="J37" s="75"/>
      <c r="K37" s="75"/>
      <c r="L37" s="75"/>
      <c r="M37" s="76"/>
    </row>
    <row r="38" spans="1:13" ht="24.95" customHeight="1">
      <c r="A38" s="52" t="s">
        <v>1616</v>
      </c>
      <c r="B38" s="136"/>
      <c r="C38" s="74"/>
      <c r="D38" s="75"/>
      <c r="E38" s="75"/>
      <c r="F38" s="75"/>
      <c r="G38" s="75"/>
      <c r="H38" s="75"/>
      <c r="I38" s="75"/>
      <c r="J38" s="75"/>
      <c r="K38" s="75"/>
      <c r="L38" s="75"/>
      <c r="M38" s="76"/>
    </row>
    <row r="39" spans="1:13" ht="12.75" customHeight="1">
      <c r="A39" s="294" t="s">
        <v>158</v>
      </c>
      <c r="B39" s="136">
        <v>2</v>
      </c>
      <c r="C39" s="129"/>
      <c r="D39" s="109"/>
      <c r="E39" s="109"/>
      <c r="F39" s="109"/>
      <c r="G39" s="109"/>
      <c r="H39" s="109"/>
      <c r="I39" s="109"/>
      <c r="J39" s="75">
        <f>SUM(E39:I39)</f>
        <v>0</v>
      </c>
      <c r="K39" s="75">
        <f>IF(D39=0,C39+J39,D39+J39)</f>
        <v>0</v>
      </c>
      <c r="L39" s="109"/>
      <c r="M39" s="110"/>
    </row>
    <row r="40" spans="1:13" ht="12.75" customHeight="1">
      <c r="A40" s="294" t="s">
        <v>158</v>
      </c>
      <c r="B40" s="136"/>
      <c r="C40" s="129"/>
      <c r="D40" s="109"/>
      <c r="E40" s="109"/>
      <c r="F40" s="109"/>
      <c r="G40" s="109"/>
      <c r="H40" s="109"/>
      <c r="I40" s="109"/>
      <c r="J40" s="75">
        <f>SUM(E40:I40)</f>
        <v>0</v>
      </c>
      <c r="K40" s="75">
        <f>IF(D40=0,C40+J40,D40+J40)</f>
        <v>0</v>
      </c>
      <c r="L40" s="109"/>
      <c r="M40" s="110"/>
    </row>
    <row r="41" spans="1:13" ht="12.75" customHeight="1">
      <c r="A41" s="294" t="s">
        <v>158</v>
      </c>
      <c r="B41" s="136"/>
      <c r="C41" s="129"/>
      <c r="D41" s="109"/>
      <c r="E41" s="109"/>
      <c r="F41" s="109"/>
      <c r="G41" s="109"/>
      <c r="H41" s="109"/>
      <c r="I41" s="109"/>
      <c r="J41" s="75">
        <f>SUM(E41:I41)</f>
        <v>0</v>
      </c>
      <c r="K41" s="75">
        <f>IF(D41=0,C41+J41,D41+J41)</f>
        <v>0</v>
      </c>
      <c r="L41" s="109"/>
      <c r="M41" s="110"/>
    </row>
    <row r="42" spans="1:13" ht="24.95" customHeight="1">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c r="A43" s="51"/>
      <c r="B43" s="136"/>
      <c r="C43" s="74"/>
      <c r="D43" s="75"/>
      <c r="E43" s="75"/>
      <c r="F43" s="75"/>
      <c r="G43" s="75"/>
      <c r="H43" s="75"/>
      <c r="I43" s="75"/>
      <c r="J43" s="75"/>
      <c r="K43" s="75"/>
      <c r="L43" s="75"/>
      <c r="M43" s="76"/>
    </row>
    <row r="44" spans="1:13" ht="12.75" customHeight="1">
      <c r="A44" s="52" t="s">
        <v>1617</v>
      </c>
      <c r="B44" s="136"/>
      <c r="C44" s="74"/>
      <c r="D44" s="75"/>
      <c r="E44" s="75"/>
      <c r="F44" s="75"/>
      <c r="G44" s="75"/>
      <c r="H44" s="75"/>
      <c r="I44" s="75"/>
      <c r="J44" s="75"/>
      <c r="K44" s="75"/>
      <c r="L44" s="75"/>
      <c r="M44" s="76"/>
    </row>
    <row r="45" spans="1:13" ht="11.25" customHeight="1">
      <c r="A45" s="294" t="s">
        <v>158</v>
      </c>
      <c r="B45" s="136">
        <v>3</v>
      </c>
      <c r="C45" s="129"/>
      <c r="D45" s="109"/>
      <c r="E45" s="109"/>
      <c r="F45" s="109"/>
      <c r="G45" s="109"/>
      <c r="H45" s="109"/>
      <c r="I45" s="109"/>
      <c r="J45" s="75">
        <f>SUM(E45:I45)</f>
        <v>0</v>
      </c>
      <c r="K45" s="75">
        <f>IF(D45=0,C45+J45,D45+J45)</f>
        <v>0</v>
      </c>
      <c r="L45" s="109"/>
      <c r="M45" s="110"/>
    </row>
    <row r="46" spans="1:13" ht="11.25" customHeight="1">
      <c r="A46" s="294" t="s">
        <v>158</v>
      </c>
      <c r="B46" s="136"/>
      <c r="C46" s="129"/>
      <c r="D46" s="109"/>
      <c r="E46" s="109"/>
      <c r="F46" s="109"/>
      <c r="G46" s="109"/>
      <c r="H46" s="109"/>
      <c r="I46" s="109"/>
      <c r="J46" s="75">
        <f>SUM(E46:I46)</f>
        <v>0</v>
      </c>
      <c r="K46" s="75">
        <f>IF(D46=0,C46+J46,D46+J46)</f>
        <v>0</v>
      </c>
      <c r="L46" s="109"/>
      <c r="M46" s="110"/>
    </row>
    <row r="47" spans="1:13" ht="11.25" customHeight="1">
      <c r="A47" s="294" t="s">
        <v>158</v>
      </c>
      <c r="B47" s="136"/>
      <c r="C47" s="129"/>
      <c r="D47" s="109"/>
      <c r="E47" s="109"/>
      <c r="F47" s="109"/>
      <c r="G47" s="109"/>
      <c r="H47" s="109"/>
      <c r="I47" s="109"/>
      <c r="J47" s="75">
        <f>SUM(E47:I47)</f>
        <v>0</v>
      </c>
      <c r="K47" s="75">
        <f>IF(D47=0,C47+J47,D47+J47)</f>
        <v>0</v>
      </c>
      <c r="L47" s="109"/>
      <c r="M47" s="110"/>
    </row>
    <row r="48" spans="1:13" ht="11.25" customHeight="1">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c r="A49" s="50"/>
      <c r="B49" s="136"/>
      <c r="C49" s="74"/>
      <c r="D49" s="75"/>
      <c r="E49" s="75"/>
      <c r="F49" s="75"/>
      <c r="G49" s="75"/>
      <c r="H49" s="75"/>
      <c r="I49" s="75"/>
      <c r="J49" s="75"/>
      <c r="K49" s="75"/>
      <c r="L49" s="75"/>
      <c r="M49" s="76"/>
    </row>
    <row r="50" spans="1:13" ht="11.25" customHeight="1">
      <c r="A50" s="52" t="s">
        <v>1618</v>
      </c>
      <c r="B50" s="136"/>
      <c r="C50" s="74"/>
      <c r="D50" s="75"/>
      <c r="E50" s="75"/>
      <c r="F50" s="75"/>
      <c r="G50" s="75"/>
      <c r="H50" s="75"/>
      <c r="I50" s="75"/>
      <c r="J50" s="75"/>
      <c r="K50" s="75"/>
      <c r="L50" s="75"/>
      <c r="M50" s="76"/>
    </row>
    <row r="51" spans="1:13" ht="11.25" customHeight="1">
      <c r="A51" s="294" t="s">
        <v>158</v>
      </c>
      <c r="B51" s="136">
        <v>4</v>
      </c>
      <c r="C51" s="129"/>
      <c r="D51" s="109"/>
      <c r="E51" s="109"/>
      <c r="F51" s="109"/>
      <c r="G51" s="109"/>
      <c r="H51" s="109"/>
      <c r="I51" s="109"/>
      <c r="J51" s="75">
        <f>SUM(E51:I51)</f>
        <v>0</v>
      </c>
      <c r="K51" s="75">
        <f>IF(D51=0,C51+J51,D51+J51)</f>
        <v>0</v>
      </c>
      <c r="L51" s="109"/>
      <c r="M51" s="110"/>
    </row>
    <row r="52" spans="1:13" ht="11.25" customHeight="1">
      <c r="A52" s="294" t="s">
        <v>158</v>
      </c>
      <c r="B52" s="136"/>
      <c r="C52" s="129"/>
      <c r="D52" s="109"/>
      <c r="E52" s="109"/>
      <c r="F52" s="109"/>
      <c r="G52" s="109"/>
      <c r="H52" s="109"/>
      <c r="I52" s="109"/>
      <c r="J52" s="75">
        <f>SUM(E52:I52)</f>
        <v>0</v>
      </c>
      <c r="K52" s="75">
        <f>IF(D52=0,C52+J52,D52+J52)</f>
        <v>0</v>
      </c>
      <c r="L52" s="109"/>
      <c r="M52" s="110"/>
    </row>
    <row r="53" spans="1:13" ht="11.25" customHeight="1">
      <c r="A53" s="294" t="s">
        <v>158</v>
      </c>
      <c r="B53" s="136"/>
      <c r="C53" s="129"/>
      <c r="D53" s="109"/>
      <c r="E53" s="109"/>
      <c r="F53" s="109"/>
      <c r="G53" s="109"/>
      <c r="H53" s="109"/>
      <c r="I53" s="109"/>
      <c r="J53" s="75">
        <f>SUM(E53:I53)</f>
        <v>0</v>
      </c>
      <c r="K53" s="75">
        <f>IF(D53=0,C53+J53,D53+J53)</f>
        <v>0</v>
      </c>
      <c r="L53" s="109"/>
      <c r="M53" s="110"/>
    </row>
    <row r="54" spans="1:13" ht="23.25" customHeight="1">
      <c r="A54" s="1121" t="s">
        <v>1619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c r="A55" s="50"/>
      <c r="B55" s="136"/>
      <c r="C55" s="74"/>
      <c r="D55" s="75"/>
      <c r="E55" s="75"/>
      <c r="F55" s="75"/>
      <c r="G55" s="75"/>
      <c r="H55" s="75"/>
      <c r="I55" s="75"/>
      <c r="J55" s="75"/>
      <c r="K55" s="75"/>
      <c r="L55" s="75"/>
      <c r="M55" s="76"/>
    </row>
    <row r="56" spans="1:13" ht="11.25" customHeight="1">
      <c r="A56" s="1122" t="s">
        <v>1620</v>
      </c>
      <c r="B56" s="1123">
        <v>5</v>
      </c>
      <c r="C56" s="1124">
        <f t="shared" ref="C56:M56" si="9">C35+C41+C47+C53</f>
        <v>0</v>
      </c>
      <c r="D56" s="800">
        <f t="shared" si="9"/>
        <v>0</v>
      </c>
      <c r="E56" s="800">
        <f t="shared" si="9"/>
        <v>0</v>
      </c>
      <c r="F56" s="800">
        <f t="shared" si="9"/>
        <v>0</v>
      </c>
      <c r="G56" s="800">
        <f t="shared" si="9"/>
        <v>0</v>
      </c>
      <c r="H56" s="800">
        <f t="shared" si="9"/>
        <v>0</v>
      </c>
      <c r="I56" s="800">
        <f t="shared" si="9"/>
        <v>0</v>
      </c>
      <c r="J56" s="800">
        <f t="shared" si="9"/>
        <v>0</v>
      </c>
      <c r="K56" s="800">
        <f t="shared" si="9"/>
        <v>0</v>
      </c>
      <c r="L56" s="800">
        <f t="shared" si="9"/>
        <v>0</v>
      </c>
      <c r="M56" s="802">
        <f t="shared" si="9"/>
        <v>0</v>
      </c>
    </row>
    <row r="57" spans="1:13" ht="11.25" customHeight="1">
      <c r="A57" s="154" t="s">
        <v>1621</v>
      </c>
      <c r="B57" s="155"/>
      <c r="C57" s="156">
        <f>C30+C56</f>
        <v>31548695</v>
      </c>
      <c r="D57" s="116">
        <f t="shared" ref="D57:M57" si="10">D30+D56</f>
        <v>0</v>
      </c>
      <c r="E57" s="116">
        <f t="shared" si="10"/>
        <v>0</v>
      </c>
      <c r="F57" s="116">
        <f t="shared" si="10"/>
        <v>0</v>
      </c>
      <c r="G57" s="116">
        <f t="shared" si="10"/>
        <v>0</v>
      </c>
      <c r="H57" s="116">
        <f t="shared" si="10"/>
        <v>0</v>
      </c>
      <c r="I57" s="116">
        <f t="shared" si="10"/>
        <v>5226000</v>
      </c>
      <c r="J57" s="116">
        <f t="shared" si="10"/>
        <v>5226000</v>
      </c>
      <c r="K57" s="116">
        <f t="shared" si="10"/>
        <v>36774695</v>
      </c>
      <c r="L57" s="116">
        <f t="shared" si="10"/>
        <v>35295231.390000001</v>
      </c>
      <c r="M57" s="117">
        <f t="shared" si="10"/>
        <v>35758531.719999999</v>
      </c>
    </row>
    <row r="58" spans="1:13" ht="11.25" customHeight="1">
      <c r="A58" s="157" t="str">
        <f>head27a</f>
        <v>References</v>
      </c>
      <c r="B58" s="93"/>
      <c r="C58" s="96"/>
      <c r="D58" s="96"/>
      <c r="E58" s="96"/>
      <c r="F58" s="96"/>
      <c r="G58" s="96"/>
      <c r="H58" s="96"/>
      <c r="I58" s="96"/>
      <c r="J58" s="96"/>
      <c r="K58" s="96"/>
      <c r="L58" s="96"/>
      <c r="M58" s="96"/>
    </row>
    <row r="59" spans="1:13" ht="11.25" customHeight="1">
      <c r="A59" s="97" t="s">
        <v>188</v>
      </c>
      <c r="B59" s="93"/>
      <c r="C59" s="99"/>
      <c r="D59" s="99"/>
      <c r="E59" s="99"/>
      <c r="F59" s="99"/>
      <c r="G59" s="99"/>
      <c r="H59" s="99"/>
      <c r="I59" s="99"/>
      <c r="J59" s="99"/>
      <c r="K59" s="99"/>
      <c r="L59" s="99"/>
      <c r="M59" s="99"/>
    </row>
    <row r="60" spans="1:13" ht="11.25" customHeight="1">
      <c r="A60" s="97" t="s">
        <v>189</v>
      </c>
      <c r="B60" s="93"/>
      <c r="C60" s="99"/>
      <c r="D60" s="99"/>
      <c r="E60" s="99"/>
      <c r="F60" s="99"/>
      <c r="G60" s="99"/>
      <c r="H60" s="99"/>
      <c r="I60" s="99"/>
      <c r="J60" s="99"/>
      <c r="K60" s="99"/>
      <c r="L60" s="99"/>
      <c r="M60" s="99"/>
    </row>
    <row r="61" spans="1:13" ht="11.25" customHeight="1">
      <c r="A61" s="97" t="s">
        <v>190</v>
      </c>
      <c r="B61" s="93"/>
      <c r="C61" s="99"/>
      <c r="D61" s="99"/>
      <c r="E61" s="99"/>
      <c r="F61" s="99"/>
      <c r="G61" s="99"/>
      <c r="H61" s="99"/>
      <c r="I61" s="99"/>
      <c r="J61" s="99"/>
      <c r="K61" s="99"/>
      <c r="L61" s="99"/>
      <c r="M61" s="99"/>
    </row>
    <row r="62" spans="1:13" ht="11.25" customHeight="1">
      <c r="A62" s="97" t="s">
        <v>191</v>
      </c>
      <c r="B62" s="93"/>
      <c r="C62" s="99"/>
      <c r="D62" s="99"/>
      <c r="E62" s="99"/>
      <c r="F62" s="99"/>
      <c r="G62" s="99"/>
      <c r="H62" s="99"/>
      <c r="I62" s="99"/>
      <c r="J62" s="99"/>
      <c r="K62" s="99"/>
      <c r="L62" s="99"/>
      <c r="M62" s="99"/>
    </row>
    <row r="63" spans="1:13" ht="11.25" customHeight="1">
      <c r="A63" s="97" t="s">
        <v>192</v>
      </c>
      <c r="B63" s="93"/>
      <c r="C63" s="99"/>
      <c r="D63" s="99"/>
      <c r="E63" s="99"/>
      <c r="F63" s="99"/>
      <c r="G63" s="99"/>
      <c r="H63" s="99"/>
      <c r="I63" s="99"/>
      <c r="J63" s="99"/>
      <c r="K63" s="99"/>
      <c r="L63" s="99"/>
      <c r="M63" s="99"/>
    </row>
    <row r="64" spans="1:13" ht="11.25" customHeight="1">
      <c r="A64" s="98" t="s">
        <v>162</v>
      </c>
      <c r="B64" s="98"/>
      <c r="C64" s="98"/>
      <c r="D64" s="98"/>
      <c r="E64" s="98"/>
      <c r="F64" s="98"/>
      <c r="G64" s="98"/>
      <c r="H64" s="98"/>
      <c r="I64" s="98"/>
      <c r="J64" s="98"/>
      <c r="K64" s="98"/>
      <c r="L64" s="98"/>
      <c r="M64" s="98"/>
    </row>
    <row r="65" spans="1:13" ht="11.25" customHeight="1">
      <c r="A65" s="98" t="s">
        <v>1347</v>
      </c>
      <c r="B65" s="98"/>
      <c r="C65" s="98"/>
      <c r="D65" s="98"/>
      <c r="E65" s="98"/>
      <c r="F65" s="98"/>
      <c r="G65" s="98"/>
      <c r="H65" s="98"/>
      <c r="I65" s="98"/>
      <c r="J65" s="98"/>
      <c r="K65" s="98"/>
      <c r="L65" s="98"/>
      <c r="M65" s="98"/>
    </row>
    <row r="66" spans="1:13" ht="11.25" customHeight="1">
      <c r="A66" s="98" t="s">
        <v>1348</v>
      </c>
      <c r="B66" s="98"/>
      <c r="C66" s="98"/>
      <c r="D66" s="98"/>
      <c r="E66" s="98"/>
      <c r="F66" s="98"/>
      <c r="G66" s="98"/>
      <c r="H66" s="98"/>
      <c r="I66" s="98"/>
      <c r="J66" s="98"/>
      <c r="K66" s="98"/>
      <c r="L66" s="98"/>
      <c r="M66" s="98"/>
    </row>
    <row r="67" spans="1:13" ht="25.5">
      <c r="A67" s="98" t="s">
        <v>1349</v>
      </c>
      <c r="B67" s="98"/>
      <c r="C67" s="98"/>
      <c r="D67" s="98"/>
      <c r="E67" s="98"/>
      <c r="F67" s="98"/>
      <c r="G67" s="98"/>
      <c r="H67" s="98"/>
      <c r="I67" s="98"/>
      <c r="J67" s="98"/>
      <c r="K67" s="98"/>
      <c r="L67" s="98"/>
      <c r="M67" s="98"/>
    </row>
    <row r="68" spans="1:13">
      <c r="A68" s="99" t="s">
        <v>1350</v>
      </c>
      <c r="B68" s="93"/>
      <c r="C68" s="96"/>
      <c r="D68" s="96"/>
      <c r="E68" s="96"/>
      <c r="F68" s="96"/>
      <c r="G68" s="96"/>
      <c r="H68" s="96"/>
      <c r="I68" s="96"/>
      <c r="J68" s="96"/>
      <c r="K68" s="96"/>
      <c r="L68" s="96"/>
      <c r="M68" s="96"/>
    </row>
    <row r="69" spans="1:13" ht="63.75">
      <c r="A69" s="98" t="s">
        <v>1363</v>
      </c>
      <c r="B69" s="98"/>
      <c r="C69" s="98"/>
      <c r="D69" s="98"/>
      <c r="E69" s="98"/>
      <c r="F69" s="98"/>
      <c r="G69" s="98"/>
      <c r="H69" s="98"/>
      <c r="I69" s="98"/>
      <c r="J69" s="98"/>
      <c r="K69" s="98"/>
      <c r="L69" s="98"/>
      <c r="M69" s="98"/>
    </row>
    <row r="70" spans="1:13">
      <c r="A70" s="99" t="s">
        <v>193</v>
      </c>
      <c r="B70" s="93"/>
      <c r="C70" s="96"/>
      <c r="D70" s="96"/>
      <c r="E70" s="96"/>
      <c r="F70" s="96"/>
      <c r="G70" s="96"/>
      <c r="H70" s="96"/>
      <c r="I70" s="96"/>
      <c r="J70" s="96"/>
      <c r="K70" s="96"/>
      <c r="L70" s="96"/>
      <c r="M70" s="96"/>
    </row>
    <row r="71" spans="1:13">
      <c r="A71" s="99" t="s">
        <v>1365</v>
      </c>
      <c r="B71" s="99"/>
      <c r="C71" s="99"/>
      <c r="D71" s="99"/>
      <c r="E71" s="99"/>
      <c r="F71" s="99"/>
      <c r="G71" s="99"/>
      <c r="H71" s="99"/>
      <c r="I71" s="99"/>
      <c r="J71" s="99"/>
      <c r="K71" s="99"/>
      <c r="L71" s="99"/>
      <c r="M71" s="99"/>
    </row>
  </sheetData>
  <mergeCells count="3">
    <mergeCell ref="A2:A4"/>
    <mergeCell ref="B2:B4"/>
    <mergeCell ref="C2:K2"/>
  </mergeCells>
  <phoneticPr fontId="17"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RowHeight="11.25"/>
  <cols>
    <col min="1" max="1" width="10.7109375" style="686" customWidth="1"/>
    <col min="2" max="2" width="92.140625" style="674" customWidth="1"/>
    <col min="3" max="3" width="18.7109375" style="674" customWidth="1"/>
    <col min="4" max="4" width="16.5703125" style="674" customWidth="1"/>
    <col min="5" max="5" width="78.85546875" style="674" bestFit="1" customWidth="1"/>
    <col min="6" max="6" width="70.28515625" style="674" bestFit="1" customWidth="1"/>
    <col min="7" max="16384" width="9.140625" style="674"/>
  </cols>
  <sheetData>
    <row r="1" spans="1:4">
      <c r="A1" s="1288" t="s">
        <v>282</v>
      </c>
      <c r="B1" s="1289"/>
      <c r="C1" s="1289"/>
      <c r="D1" s="1290"/>
    </row>
    <row r="2" spans="1:4">
      <c r="A2" s="814" t="s">
        <v>283</v>
      </c>
      <c r="B2" s="815" t="str">
        <f>HLOOKUP(MTREF,Headings,2)</f>
        <v>2012/13</v>
      </c>
      <c r="C2" s="816" t="s">
        <v>284</v>
      </c>
      <c r="D2" s="817"/>
    </row>
    <row r="3" spans="1:4">
      <c r="A3" s="818" t="s">
        <v>285</v>
      </c>
      <c r="B3" s="819" t="str">
        <f>HLOOKUP(MTREF,Headings,3)</f>
        <v>2011/12</v>
      </c>
      <c r="C3" s="820" t="s">
        <v>286</v>
      </c>
      <c r="D3" s="821"/>
    </row>
    <row r="4" spans="1:4">
      <c r="A4" s="818" t="s">
        <v>287</v>
      </c>
      <c r="B4" s="819" t="str">
        <f>HLOOKUP(MTREF,Headings,4)</f>
        <v>2010/11</v>
      </c>
      <c r="C4" s="820" t="s">
        <v>288</v>
      </c>
      <c r="D4" s="821"/>
    </row>
    <row r="5" spans="1:4">
      <c r="A5" s="818" t="s">
        <v>289</v>
      </c>
      <c r="B5" s="820" t="str">
        <f>HLOOKUP(MTREF,Headings,7)</f>
        <v>Budget Year 2013/14</v>
      </c>
      <c r="C5" s="820" t="s">
        <v>290</v>
      </c>
      <c r="D5" s="821"/>
    </row>
    <row r="6" spans="1:4">
      <c r="A6" s="818" t="s">
        <v>291</v>
      </c>
      <c r="B6" s="820" t="str">
        <f>HLOOKUP(MTREF,Headings,6)</f>
        <v>2013/14</v>
      </c>
      <c r="C6" s="820" t="s">
        <v>292</v>
      </c>
      <c r="D6" s="821"/>
    </row>
    <row r="7" spans="1:4">
      <c r="A7" s="818" t="s">
        <v>293</v>
      </c>
      <c r="B7" s="820" t="str">
        <f>HLOOKUP(MTREF,Headings,5)</f>
        <v>2013/14 Medium Term Revenue &amp; Expenditure Framework</v>
      </c>
      <c r="C7" s="820" t="s">
        <v>294</v>
      </c>
      <c r="D7" s="821"/>
    </row>
    <row r="8" spans="1:4">
      <c r="A8" s="682" t="s">
        <v>295</v>
      </c>
      <c r="B8" s="673" t="s">
        <v>227</v>
      </c>
      <c r="C8" s="673"/>
      <c r="D8" s="683"/>
    </row>
    <row r="9" spans="1:4">
      <c r="A9" s="682" t="s">
        <v>296</v>
      </c>
      <c r="B9" s="673" t="s">
        <v>297</v>
      </c>
      <c r="C9" s="673"/>
      <c r="D9" s="683"/>
    </row>
    <row r="10" spans="1:4">
      <c r="A10" s="682" t="s">
        <v>304</v>
      </c>
      <c r="B10" s="673" t="s">
        <v>305</v>
      </c>
      <c r="C10" s="673"/>
      <c r="D10" s="683"/>
    </row>
    <row r="11" spans="1:4">
      <c r="A11" s="682" t="s">
        <v>306</v>
      </c>
      <c r="B11" s="673" t="s">
        <v>307</v>
      </c>
      <c r="C11" s="673"/>
      <c r="D11" s="683"/>
    </row>
    <row r="12" spans="1:4">
      <c r="A12" s="682" t="s">
        <v>308</v>
      </c>
      <c r="B12" s="673" t="s">
        <v>309</v>
      </c>
      <c r="C12" s="673"/>
      <c r="D12" s="683"/>
    </row>
    <row r="13" spans="1:4">
      <c r="A13" s="682" t="s">
        <v>310</v>
      </c>
      <c r="B13" s="673" t="s">
        <v>311</v>
      </c>
      <c r="C13" s="673"/>
      <c r="D13" s="683"/>
    </row>
    <row r="14" spans="1:4">
      <c r="A14" s="682" t="s">
        <v>312</v>
      </c>
      <c r="B14" s="673" t="s">
        <v>241</v>
      </c>
      <c r="C14" s="673"/>
      <c r="D14" s="683"/>
    </row>
    <row r="15" spans="1:4">
      <c r="A15" s="682" t="s">
        <v>313</v>
      </c>
      <c r="B15" s="673" t="s">
        <v>314</v>
      </c>
      <c r="C15" s="673"/>
      <c r="D15" s="683"/>
    </row>
    <row r="16" spans="1:4">
      <c r="A16" s="818" t="s">
        <v>315</v>
      </c>
      <c r="B16" s="820" t="str">
        <f>HLOOKUP(MTREF,Headings,7)</f>
        <v>Budget Year 2013/14</v>
      </c>
      <c r="C16" s="820" t="s">
        <v>316</v>
      </c>
      <c r="D16" s="822" t="s">
        <v>317</v>
      </c>
    </row>
    <row r="17" spans="1:4">
      <c r="A17" s="818" t="s">
        <v>318</v>
      </c>
      <c r="B17" s="820" t="str">
        <f>HLOOKUP(MTREF,Headings,8)</f>
        <v>Budget Year +1 2014/15</v>
      </c>
      <c r="C17" s="820" t="s">
        <v>319</v>
      </c>
      <c r="D17" s="822" t="s">
        <v>320</v>
      </c>
    </row>
    <row r="18" spans="1:4">
      <c r="A18" s="818" t="s">
        <v>321</v>
      </c>
      <c r="B18" s="820" t="str">
        <f>HLOOKUP(MTREF,Headings,9)</f>
        <v>Budget Year +2 2015/16</v>
      </c>
      <c r="C18" s="820" t="s">
        <v>322</v>
      </c>
      <c r="D18" s="822" t="s">
        <v>323</v>
      </c>
    </row>
    <row r="19" spans="1:4">
      <c r="A19" s="682" t="s">
        <v>324</v>
      </c>
      <c r="B19" s="673" t="s">
        <v>248</v>
      </c>
      <c r="C19" s="673"/>
      <c r="D19" s="684" t="s">
        <v>325</v>
      </c>
    </row>
    <row r="20" spans="1:4">
      <c r="A20" s="682" t="s">
        <v>326</v>
      </c>
      <c r="B20" s="673" t="s">
        <v>327</v>
      </c>
      <c r="C20" s="673"/>
      <c r="D20" s="684" t="s">
        <v>328</v>
      </c>
    </row>
    <row r="21" spans="1:4">
      <c r="A21" s="682" t="s">
        <v>329</v>
      </c>
      <c r="B21" s="673" t="s">
        <v>330</v>
      </c>
      <c r="C21" s="673"/>
      <c r="D21" s="684"/>
    </row>
    <row r="22" spans="1:4">
      <c r="A22" s="682" t="s">
        <v>331</v>
      </c>
      <c r="B22" s="673" t="s">
        <v>549</v>
      </c>
      <c r="C22" s="673"/>
      <c r="D22" s="684"/>
    </row>
    <row r="23" spans="1:4">
      <c r="A23" s="682" t="s">
        <v>332</v>
      </c>
      <c r="B23" s="673" t="s">
        <v>611</v>
      </c>
      <c r="C23" s="673"/>
      <c r="D23" s="684" t="s">
        <v>333</v>
      </c>
    </row>
    <row r="24" spans="1:4">
      <c r="A24" s="682" t="s">
        <v>334</v>
      </c>
      <c r="B24" s="673" t="s">
        <v>278</v>
      </c>
      <c r="C24" s="673"/>
      <c r="D24" s="684"/>
    </row>
    <row r="25" spans="1:4">
      <c r="A25" s="682" t="s">
        <v>335</v>
      </c>
      <c r="B25" s="673" t="s">
        <v>336</v>
      </c>
      <c r="C25" s="673"/>
      <c r="D25" s="684"/>
    </row>
    <row r="26" spans="1:4">
      <c r="A26" s="682" t="s">
        <v>337</v>
      </c>
      <c r="B26" s="673" t="s">
        <v>338</v>
      </c>
      <c r="C26" s="673"/>
      <c r="D26" s="684"/>
    </row>
    <row r="27" spans="1:4">
      <c r="A27" s="682" t="s">
        <v>339</v>
      </c>
      <c r="B27" s="673" t="s">
        <v>340</v>
      </c>
      <c r="C27" s="673"/>
      <c r="D27" s="684"/>
    </row>
    <row r="28" spans="1:4">
      <c r="A28" s="682" t="s">
        <v>341</v>
      </c>
      <c r="B28" s="673" t="s">
        <v>342</v>
      </c>
      <c r="C28" s="673"/>
      <c r="D28" s="684"/>
    </row>
    <row r="29" spans="1:4">
      <c r="A29" s="682" t="s">
        <v>343</v>
      </c>
      <c r="B29" s="673" t="s">
        <v>344</v>
      </c>
      <c r="C29" s="673"/>
      <c r="D29" s="684"/>
    </row>
    <row r="30" spans="1:4">
      <c r="A30" s="682" t="s">
        <v>345</v>
      </c>
      <c r="B30" s="673" t="s">
        <v>346</v>
      </c>
      <c r="C30" s="673"/>
      <c r="D30" s="684"/>
    </row>
    <row r="31" spans="1:4">
      <c r="A31" s="682" t="s">
        <v>347</v>
      </c>
      <c r="B31" s="673" t="s">
        <v>348</v>
      </c>
      <c r="C31" s="673"/>
      <c r="D31" s="684"/>
    </row>
    <row r="32" spans="1:4">
      <c r="A32" s="682" t="s">
        <v>349</v>
      </c>
      <c r="B32" s="673" t="s">
        <v>350</v>
      </c>
      <c r="C32" s="673"/>
      <c r="D32" s="684"/>
    </row>
    <row r="33" spans="1:4">
      <c r="A33" s="682" t="s">
        <v>351</v>
      </c>
      <c r="B33" s="673" t="s">
        <v>352</v>
      </c>
      <c r="C33" s="673"/>
      <c r="D33" s="684"/>
    </row>
    <row r="34" spans="1:4">
      <c r="A34" s="682" t="s">
        <v>353</v>
      </c>
      <c r="B34" s="673" t="s">
        <v>354</v>
      </c>
      <c r="C34" s="673"/>
      <c r="D34" s="684"/>
    </row>
    <row r="35" spans="1:4">
      <c r="A35" s="682" t="s">
        <v>355</v>
      </c>
      <c r="B35" s="672" t="s">
        <v>356</v>
      </c>
      <c r="C35" s="673"/>
      <c r="D35" s="684"/>
    </row>
    <row r="36" spans="1:4">
      <c r="A36" s="682" t="s">
        <v>357</v>
      </c>
      <c r="B36" s="672" t="s">
        <v>358</v>
      </c>
      <c r="C36" s="673"/>
      <c r="D36" s="684"/>
    </row>
    <row r="37" spans="1:4">
      <c r="A37" s="682" t="s">
        <v>359</v>
      </c>
      <c r="B37" s="672" t="s">
        <v>360</v>
      </c>
      <c r="C37" s="673"/>
      <c r="D37" s="684"/>
    </row>
    <row r="38" spans="1:4">
      <c r="A38" s="682" t="s">
        <v>361</v>
      </c>
      <c r="B38" s="672" t="str">
        <f>Head3&amp;" Summary"</f>
        <v>2013/14 Medium Term Revenue &amp; Expenditure Framework Summary</v>
      </c>
      <c r="C38" s="673"/>
      <c r="D38" s="684"/>
    </row>
    <row r="39" spans="1:4">
      <c r="A39" s="682" t="s">
        <v>362</v>
      </c>
      <c r="B39" s="672" t="s">
        <v>363</v>
      </c>
      <c r="C39" s="673"/>
      <c r="D39" s="684"/>
    </row>
    <row r="40" spans="1:4">
      <c r="A40" s="682" t="s">
        <v>364</v>
      </c>
      <c r="B40" s="672" t="s">
        <v>365</v>
      </c>
      <c r="C40" s="673"/>
      <c r="D40" s="684"/>
    </row>
    <row r="41" spans="1:4">
      <c r="A41" s="682" t="s">
        <v>366</v>
      </c>
      <c r="B41" s="685" t="str">
        <f>" - Adjustments Budget - "&amp; "????"</f>
        <v xml:space="preserve"> - Adjustments Budget - ????</v>
      </c>
      <c r="C41" s="675"/>
      <c r="D41" s="684"/>
    </row>
    <row r="42" spans="1:4">
      <c r="A42" s="682" t="s">
        <v>367</v>
      </c>
      <c r="B42" s="672" t="s">
        <v>368</v>
      </c>
      <c r="C42" s="673"/>
      <c r="D42" s="684"/>
    </row>
    <row r="43" spans="1:4">
      <c r="A43" s="682" t="s">
        <v>369</v>
      </c>
      <c r="B43" s="672" t="s">
        <v>370</v>
      </c>
      <c r="C43" s="673"/>
      <c r="D43" s="684"/>
    </row>
    <row r="44" spans="1:4">
      <c r="A44" s="682" t="s">
        <v>371</v>
      </c>
      <c r="B44" s="672" t="s">
        <v>372</v>
      </c>
      <c r="C44" s="673"/>
      <c r="D44" s="684"/>
    </row>
    <row r="45" spans="1:4">
      <c r="A45" s="682" t="s">
        <v>373</v>
      </c>
      <c r="B45" s="672" t="s">
        <v>374</v>
      </c>
      <c r="C45" s="673"/>
      <c r="D45" s="684"/>
    </row>
    <row r="46" spans="1:4">
      <c r="A46" s="682" t="s">
        <v>375</v>
      </c>
      <c r="B46" s="672" t="s">
        <v>376</v>
      </c>
      <c r="C46" s="673"/>
      <c r="D46" s="684"/>
    </row>
    <row r="47" spans="1:4">
      <c r="A47" s="682" t="s">
        <v>377</v>
      </c>
      <c r="B47" s="672" t="s">
        <v>378</v>
      </c>
      <c r="C47" s="673"/>
      <c r="D47" s="684"/>
    </row>
    <row r="48" spans="1:4">
      <c r="A48" s="682" t="s">
        <v>379</v>
      </c>
      <c r="B48" s="672" t="s">
        <v>380</v>
      </c>
      <c r="C48" s="673"/>
      <c r="D48" s="684"/>
    </row>
    <row r="49" spans="1:4">
      <c r="A49" s="682" t="s">
        <v>381</v>
      </c>
      <c r="B49" s="672" t="s">
        <v>382</v>
      </c>
      <c r="C49" s="673"/>
      <c r="D49" s="684"/>
    </row>
    <row r="50" spans="1:4">
      <c r="A50" s="682" t="s">
        <v>383</v>
      </c>
      <c r="B50" s="672" t="s">
        <v>384</v>
      </c>
      <c r="C50" s="673"/>
      <c r="D50" s="684"/>
    </row>
    <row r="51" spans="1:4">
      <c r="A51" s="682" t="s">
        <v>385</v>
      </c>
      <c r="B51" s="672" t="s">
        <v>386</v>
      </c>
      <c r="C51" s="673"/>
      <c r="D51" s="684"/>
    </row>
    <row r="52" spans="1:4">
      <c r="A52" s="682" t="s">
        <v>387</v>
      </c>
      <c r="B52" s="672" t="s">
        <v>388</v>
      </c>
      <c r="C52" s="673"/>
      <c r="D52" s="684"/>
    </row>
    <row r="53" spans="1:4">
      <c r="A53" s="682" t="s">
        <v>389</v>
      </c>
      <c r="B53" s="672" t="s">
        <v>390</v>
      </c>
      <c r="C53" s="673"/>
      <c r="D53" s="684"/>
    </row>
    <row r="54" spans="1:4">
      <c r="A54" s="682" t="s">
        <v>391</v>
      </c>
      <c r="B54" s="672" t="s">
        <v>392</v>
      </c>
      <c r="C54" s="673"/>
      <c r="D54" s="684"/>
    </row>
    <row r="55" spans="1:4">
      <c r="A55" s="682" t="s">
        <v>393</v>
      </c>
      <c r="B55" s="672" t="s">
        <v>394</v>
      </c>
      <c r="C55" s="673"/>
      <c r="D55" s="684"/>
    </row>
    <row r="56" spans="1:4">
      <c r="A56" s="682" t="s">
        <v>395</v>
      </c>
      <c r="B56" s="672" t="s">
        <v>396</v>
      </c>
      <c r="C56" s="673"/>
      <c r="D56" s="684"/>
    </row>
    <row r="57" spans="1:4">
      <c r="A57" s="682" t="s">
        <v>397</v>
      </c>
      <c r="B57" s="672" t="s">
        <v>398</v>
      </c>
      <c r="C57" s="673"/>
      <c r="D57" s="684"/>
    </row>
    <row r="58" spans="1:4">
      <c r="A58" s="682" t="s">
        <v>399</v>
      </c>
      <c r="B58" s="672" t="s">
        <v>400</v>
      </c>
      <c r="C58" s="673"/>
      <c r="D58" s="684"/>
    </row>
    <row r="59" spans="1:4">
      <c r="A59" s="682" t="s">
        <v>401</v>
      </c>
      <c r="B59" s="672" t="s">
        <v>402</v>
      </c>
      <c r="C59" s="673"/>
      <c r="D59" s="684"/>
    </row>
    <row r="60" spans="1:4">
      <c r="A60" s="682" t="s">
        <v>403</v>
      </c>
      <c r="B60" s="672" t="s">
        <v>404</v>
      </c>
      <c r="C60" s="673"/>
      <c r="D60" s="684"/>
    </row>
    <row r="61" spans="1:4">
      <c r="A61" s="682" t="s">
        <v>405</v>
      </c>
      <c r="B61" s="672" t="s">
        <v>406</v>
      </c>
      <c r="C61" s="673"/>
      <c r="D61" s="684"/>
    </row>
    <row r="62" spans="1:4">
      <c r="A62" s="1291" t="s">
        <v>407</v>
      </c>
      <c r="B62" s="1292"/>
      <c r="C62" s="1292"/>
      <c r="D62" s="1293"/>
    </row>
    <row r="63" spans="1:4">
      <c r="A63" s="823" t="s">
        <v>408</v>
      </c>
      <c r="B63" s="696" t="str">
        <f>'Lookup and lists'!B28</f>
        <v>LIM333 Greater Tzaneen</v>
      </c>
      <c r="C63" s="696"/>
      <c r="D63" s="686"/>
    </row>
    <row r="64" spans="1:4">
      <c r="A64" s="823" t="s">
        <v>223</v>
      </c>
      <c r="B64" s="824">
        <v>1</v>
      </c>
      <c r="C64" s="696" t="s">
        <v>224</v>
      </c>
      <c r="D64" s="686">
        <v>2</v>
      </c>
    </row>
    <row r="65" spans="1:6">
      <c r="A65" s="724" t="str">
        <f>IF((MuniEntities=1)*(MuniType=2),"YES","NO")</f>
        <v>YES</v>
      </c>
      <c r="B65" s="2" t="s">
        <v>409</v>
      </c>
      <c r="C65" s="697"/>
      <c r="D65" s="686"/>
    </row>
    <row r="66" spans="1:6">
      <c r="A66" s="1294" t="s">
        <v>410</v>
      </c>
      <c r="B66" s="1295"/>
      <c r="C66" s="687"/>
      <c r="D66" s="687"/>
      <c r="E66" s="688" t="s">
        <v>411</v>
      </c>
      <c r="F66" s="688" t="s">
        <v>412</v>
      </c>
    </row>
    <row r="67" spans="1:6">
      <c r="A67" s="682" t="s">
        <v>413</v>
      </c>
      <c r="B67" s="673" t="str">
        <f t="shared" ref="B67:B99" si="0">D67&amp;IF(Consolques="YES",E67,F67)</f>
        <v>Table B1 Consolidated Adjustments Budget Summary</v>
      </c>
      <c r="C67" s="673"/>
      <c r="D67" s="689" t="s">
        <v>414</v>
      </c>
      <c r="E67" s="674" t="str">
        <f>"Consolidated "&amp;F67</f>
        <v>Consolidated Adjustments Budget Summary</v>
      </c>
      <c r="F67" s="674" t="str">
        <f>"Adjustments Budget Summary"</f>
        <v>Adjustments Budget Summary</v>
      </c>
    </row>
    <row r="68" spans="1:6">
      <c r="A68" s="682" t="s">
        <v>415</v>
      </c>
      <c r="B68" s="673" t="str">
        <f t="shared" si="0"/>
        <v>Table B3 Consolidated Adjustments Budget Financial Performance (revenue and expenditure by municipal vote)</v>
      </c>
      <c r="C68" s="673"/>
      <c r="D68" s="689" t="s">
        <v>418</v>
      </c>
      <c r="E68" s="674" t="str">
        <f t="shared" ref="E68:E98" si="1">"Consolidated "&amp;F68</f>
        <v>Consolidated Adjustments Budget Financial Performance (revenue and expenditure by municipal vote)</v>
      </c>
      <c r="F68" s="674" t="str">
        <f>"Adjustments Budget Financial Performance (revenue and expenditure by municipal vote)"</f>
        <v>Adjustments Budget Financial Performance (revenue and expenditure by municipal vote)</v>
      </c>
    </row>
    <row r="69" spans="1:6">
      <c r="A69" s="682" t="s">
        <v>417</v>
      </c>
      <c r="B69" s="673" t="str">
        <f t="shared" si="0"/>
        <v>Table B2 Consolidated Adjustments Budget Financial Performance (standard classification)</v>
      </c>
      <c r="C69" s="673"/>
      <c r="D69" s="689" t="s">
        <v>416</v>
      </c>
      <c r="E69" s="674" t="str">
        <f t="shared" si="1"/>
        <v>Consolidated Adjustments Budget Financial Performance (standard classification)</v>
      </c>
      <c r="F69" s="674" t="str">
        <f>"Adjustments Budget Financial Performance (standard classification)"</f>
        <v>Adjustments Budget Financial Performance (standard classification)</v>
      </c>
    </row>
    <row r="70" spans="1:6">
      <c r="A70" s="682" t="s">
        <v>419</v>
      </c>
      <c r="B70" s="673" t="str">
        <f t="shared" si="0"/>
        <v>Table B4 Consolidated Adjustments Budget Financial Performance (revenue and expenditure)</v>
      </c>
      <c r="C70" s="673"/>
      <c r="D70" s="689" t="s">
        <v>420</v>
      </c>
      <c r="E70" s="674" t="str">
        <f t="shared" si="1"/>
        <v>Consolidated Adjustments Budget Financial Performance (revenue and expenditure)</v>
      </c>
      <c r="F70" s="674" t="str">
        <f>"Adjustments Budget Financial Performance (revenue and expenditure)"</f>
        <v>Adjustments Budget Financial Performance (revenue and expenditure)</v>
      </c>
    </row>
    <row r="71" spans="1:6">
      <c r="A71" s="682" t="s">
        <v>421</v>
      </c>
      <c r="B71" s="673" t="str">
        <f t="shared" si="0"/>
        <v>Table B5 Consolidated Adjustments Capital Expenditure Budget by vote and funding</v>
      </c>
      <c r="C71" s="673"/>
      <c r="D71" s="689" t="s">
        <v>422</v>
      </c>
      <c r="E71" s="674" t="str">
        <f t="shared" si="1"/>
        <v>Consolidated Adjustments Capital Expenditure Budget by vote and funding</v>
      </c>
      <c r="F71" s="674" t="str">
        <f>"Adjustments Capital Expenditure Budget by vote and funding"</f>
        <v>Adjustments Capital Expenditure Budget by vote and funding</v>
      </c>
    </row>
    <row r="72" spans="1:6">
      <c r="A72" s="682" t="s">
        <v>423</v>
      </c>
      <c r="B72" s="673" t="str">
        <f t="shared" si="0"/>
        <v>Table B6 Consolidated Adjustments Budget Financial Position</v>
      </c>
      <c r="C72" s="673"/>
      <c r="D72" s="689" t="s">
        <v>424</v>
      </c>
      <c r="E72" s="674" t="str">
        <f t="shared" si="1"/>
        <v>Consolidated Adjustments Budget Financial Position</v>
      </c>
      <c r="F72" s="674" t="str">
        <f>"Adjustments Budget Financial Position"</f>
        <v>Adjustments Budget Financial Position</v>
      </c>
    </row>
    <row r="73" spans="1:6">
      <c r="A73" s="682" t="s">
        <v>425</v>
      </c>
      <c r="B73" s="673" t="str">
        <f t="shared" si="0"/>
        <v>Table B7 Consolidated Adjustments Budget Cash Flows</v>
      </c>
      <c r="C73" s="673"/>
      <c r="D73" s="689" t="s">
        <v>426</v>
      </c>
      <c r="E73" s="674" t="str">
        <f t="shared" si="1"/>
        <v>Consolidated Adjustments Budget Cash Flows</v>
      </c>
      <c r="F73" s="674" t="str">
        <f>"Adjustments Budget Cash Flows"</f>
        <v>Adjustments Budget Cash Flows</v>
      </c>
    </row>
    <row r="74" spans="1:6">
      <c r="A74" s="682" t="s">
        <v>427</v>
      </c>
      <c r="B74" s="673" t="str">
        <f t="shared" si="0"/>
        <v>Table B8 Consolidated Cash backed reserves/accumulated surplus reconciliation</v>
      </c>
      <c r="C74" s="673"/>
      <c r="D74" s="689" t="s">
        <v>428</v>
      </c>
      <c r="E74" s="674" t="str">
        <f t="shared" si="1"/>
        <v>Consolidated Cash backed reserves/accumulated surplus reconciliation</v>
      </c>
      <c r="F74" s="674" t="str">
        <f>"Cash backed reserves/accumulated surplus reconciliation"</f>
        <v>Cash backed reserves/accumulated surplus reconciliation</v>
      </c>
    </row>
    <row r="75" spans="1:6">
      <c r="A75" s="682" t="s">
        <v>429</v>
      </c>
      <c r="B75" s="673" t="str">
        <f t="shared" si="0"/>
        <v>Table B9 Consolidated Asset Management</v>
      </c>
      <c r="C75" s="673"/>
      <c r="D75" s="689" t="s">
        <v>430</v>
      </c>
      <c r="E75" s="674" t="str">
        <f t="shared" si="1"/>
        <v>Consolidated Asset Management</v>
      </c>
      <c r="F75" s="674" t="str">
        <f>"Asset Management"</f>
        <v>Asset Management</v>
      </c>
    </row>
    <row r="76" spans="1:6">
      <c r="A76" s="682" t="s">
        <v>431</v>
      </c>
      <c r="B76" s="673" t="str">
        <f t="shared" si="0"/>
        <v>Table B10 Consolidated Basic service delivery measurement</v>
      </c>
      <c r="C76" s="673"/>
      <c r="D76" s="689" t="s">
        <v>432</v>
      </c>
      <c r="E76" s="674" t="str">
        <f t="shared" si="1"/>
        <v>Consolidated Basic service delivery measurement</v>
      </c>
      <c r="F76" s="674" t="str">
        <f>"Basic service delivery measurement"</f>
        <v>Basic service delivery measurement</v>
      </c>
    </row>
    <row r="77" spans="1:6">
      <c r="A77" s="682" t="s">
        <v>433</v>
      </c>
      <c r="B77" s="673" t="str">
        <f t="shared" si="0"/>
        <v>Supporting Table SB1 Consolidated Supporting detail to 'Budgeted Financial Performance'</v>
      </c>
      <c r="C77" s="673"/>
      <c r="D77" s="689" t="str">
        <f>D100&amp;"Table SB1 "</f>
        <v xml:space="preserve">Supporting Table SB1 </v>
      </c>
      <c r="E77" s="674" t="str">
        <f t="shared" si="1"/>
        <v>Consolidated Supporting detail to 'Budgeted Financial Performance'</v>
      </c>
      <c r="F77" s="674" t="str">
        <f>"Supporting detail to 'Budgeted Financial Performance'"</f>
        <v>Supporting detail to 'Budgeted Financial Performance'</v>
      </c>
    </row>
    <row r="78" spans="1:6">
      <c r="A78" s="682" t="s">
        <v>434</v>
      </c>
      <c r="B78" s="673" t="str">
        <f t="shared" si="0"/>
        <v>Supporting Table SB2 Consolidated Supporting detail to 'Financial Position Budget'</v>
      </c>
      <c r="C78" s="673"/>
      <c r="D78" s="689" t="str">
        <f>D100&amp;"Table SB2 "</f>
        <v xml:space="preserve">Supporting Table SB2 </v>
      </c>
      <c r="E78" s="674" t="str">
        <f t="shared" si="1"/>
        <v>Consolidated Supporting detail to 'Financial Position Budget'</v>
      </c>
      <c r="F78" s="674" t="str">
        <f>"Supporting detail to 'Financial Position Budget'"</f>
        <v>Supporting detail to 'Financial Position Budget'</v>
      </c>
    </row>
    <row r="79" spans="1:6">
      <c r="A79" s="682" t="s">
        <v>435</v>
      </c>
      <c r="B79" s="673" t="str">
        <f t="shared" si="0"/>
        <v>Supporting Table SB3 Consolidated Adjustments to the SDBIP - performance objectives</v>
      </c>
      <c r="C79" s="673"/>
      <c r="D79" s="689" t="str">
        <f>D100&amp;"Table SB3 "</f>
        <v xml:space="preserve">Supporting Table SB3 </v>
      </c>
      <c r="E79" s="674" t="str">
        <f t="shared" si="1"/>
        <v>Consolidated Adjustments to the SDBIP - performance objectives</v>
      </c>
      <c r="F79" s="674" t="str">
        <f>"Adjustments to the SDBIP - performance objectives"</f>
        <v>Adjustments to the SDBIP - performance objectives</v>
      </c>
    </row>
    <row r="80" spans="1:6">
      <c r="A80" s="682" t="s">
        <v>436</v>
      </c>
      <c r="B80" s="673" t="str">
        <f t="shared" si="0"/>
        <v>Supporting Table SB4 Consolidated Adjustments to budgeted performance indicators and benchmarks</v>
      </c>
      <c r="C80" s="690"/>
      <c r="D80" s="689" t="str">
        <f>D100&amp;"Table SB4 "</f>
        <v xml:space="preserve">Supporting Table SB4 </v>
      </c>
      <c r="E80" s="674" t="str">
        <f t="shared" si="1"/>
        <v>Consolidated Adjustments to budgeted performance indicators and benchmarks</v>
      </c>
      <c r="F80" s="691" t="str">
        <f>"Adjustments to budgeted performance indicators and benchmarks"</f>
        <v>Adjustments to budgeted performance indicators and benchmarks</v>
      </c>
    </row>
    <row r="81" spans="1:6">
      <c r="A81" s="682" t="s">
        <v>437</v>
      </c>
      <c r="B81" s="673" t="str">
        <f t="shared" si="0"/>
        <v>Supporting Table SB5 Consolidated Adjustments Budget - social, economic and demographic statistics and assumptions</v>
      </c>
      <c r="C81" s="690"/>
      <c r="D81" s="689" t="str">
        <f>D100&amp;"Table SB5 "</f>
        <v xml:space="preserve">Supporting Table SB5 </v>
      </c>
      <c r="E81" s="674" t="str">
        <f t="shared" si="1"/>
        <v>Consolidated Adjustments Budget - social, economic and demographic statistics and assumptions</v>
      </c>
      <c r="F81" s="690" t="str">
        <f>"Adjustments Budget - social, economic and demographic statistics and assumptions"</f>
        <v>Adjustments Budget - social, economic and demographic statistics and assumptions</v>
      </c>
    </row>
    <row r="82" spans="1:6">
      <c r="A82" s="682" t="s">
        <v>438</v>
      </c>
      <c r="B82" s="673" t="str">
        <f t="shared" si="0"/>
        <v>Supporting Table SB6 Consolidated Adjustments Budget - funding measurement</v>
      </c>
      <c r="C82" s="690"/>
      <c r="D82" s="689" t="str">
        <f>D100&amp;"Table SB6 "</f>
        <v xml:space="preserve">Supporting Table SB6 </v>
      </c>
      <c r="E82" s="674" t="str">
        <f t="shared" si="1"/>
        <v>Consolidated Adjustments Budget - funding measurement</v>
      </c>
      <c r="F82" s="690" t="str">
        <f>"Adjustments Budget - funding measurement"</f>
        <v>Adjustments Budget - funding measurement</v>
      </c>
    </row>
    <row r="83" spans="1:6">
      <c r="A83" s="682" t="s">
        <v>439</v>
      </c>
      <c r="B83" s="673" t="str">
        <f t="shared" si="0"/>
        <v>Supporting Table SB7 Consolidated Adjustments Budget - transfers and grant receipts</v>
      </c>
      <c r="C83" s="690"/>
      <c r="D83" s="689" t="str">
        <f>D100&amp;"Table SB7 "</f>
        <v xml:space="preserve">Supporting Table SB7 </v>
      </c>
      <c r="E83" s="674" t="str">
        <f t="shared" si="1"/>
        <v>Consolidated Adjustments Budget - transfers and grant receipts</v>
      </c>
      <c r="F83" s="690" t="str">
        <f>"Adjustments Budget - transfers and grant receipts"</f>
        <v>Adjustments Budget - transfers and grant receipts</v>
      </c>
    </row>
    <row r="84" spans="1:6">
      <c r="A84" s="682" t="s">
        <v>440</v>
      </c>
      <c r="B84" s="673" t="str">
        <f t="shared" si="0"/>
        <v>Supporting Table SB8 Consolidated Adjustments Budget - expenditure on transfers and grant programme</v>
      </c>
      <c r="C84" s="690"/>
      <c r="D84" s="689" t="str">
        <f>D100&amp;"Table SB8 "</f>
        <v xml:space="preserve">Supporting Table SB8 </v>
      </c>
      <c r="E84" s="674" t="str">
        <f t="shared" si="1"/>
        <v>Consolidated Adjustments Budget - expenditure on transfers and grant programme</v>
      </c>
      <c r="F84" s="690" t="str">
        <f>"Adjustments Budget - expenditure on transfers and grant programme"</f>
        <v>Adjustments Budget - expenditure on transfers and grant programme</v>
      </c>
    </row>
    <row r="85" spans="1:6">
      <c r="A85" s="682" t="s">
        <v>441</v>
      </c>
      <c r="B85" s="673" t="str">
        <f t="shared" si="0"/>
        <v>Supporting Table SB9 Consolidated Adjustments Budget - reconciliation of transfers, grant receipts, and unspent funds</v>
      </c>
      <c r="C85" s="690"/>
      <c r="D85" s="689" t="str">
        <f>D100&amp;"Table SB9 "</f>
        <v xml:space="preserve">Supporting Table SB9 </v>
      </c>
      <c r="E85" s="674" t="str">
        <f t="shared" si="1"/>
        <v>Consolidated Adjustments Budget - reconciliation of transfers, grant receipts, and unspent funds</v>
      </c>
      <c r="F85" s="690" t="str">
        <f>"Adjustments Budget - reconciliation of transfers, grant receipts, and unspent funds"</f>
        <v>Adjustments Budget - reconciliation of transfers, grant receipts, and unspent funds</v>
      </c>
    </row>
    <row r="86" spans="1:6">
      <c r="A86" s="682" t="s">
        <v>442</v>
      </c>
      <c r="B86" s="673" t="str">
        <f t="shared" si="0"/>
        <v>Supporting Table SB10 Consolidated Adjustments Budget - transfers and grants made by the municipality</v>
      </c>
      <c r="C86" s="690"/>
      <c r="D86" s="689" t="str">
        <f>D100&amp;"Table SB10 "</f>
        <v xml:space="preserve">Supporting Table SB10 </v>
      </c>
      <c r="E86" s="674" t="str">
        <f t="shared" si="1"/>
        <v>Consolidated Adjustments Budget - transfers and grants made by the municipality</v>
      </c>
      <c r="F86" s="690" t="str">
        <f>"Adjustments Budget - transfers and grants made by the municipality"</f>
        <v>Adjustments Budget - transfers and grants made by the municipality</v>
      </c>
    </row>
    <row r="87" spans="1:6">
      <c r="A87" s="682" t="s">
        <v>443</v>
      </c>
      <c r="B87" s="673" t="str">
        <f t="shared" si="0"/>
        <v>Supporting Table SB11 Consolidated Adjustments Budget - councillor and staff benefits</v>
      </c>
      <c r="C87" s="690"/>
      <c r="D87" s="689" t="str">
        <f>D100&amp;"Table SB11 "</f>
        <v xml:space="preserve">Supporting Table SB11 </v>
      </c>
      <c r="E87" s="674" t="str">
        <f t="shared" si="1"/>
        <v>Consolidated Adjustments Budget - councillor and staff benefits</v>
      </c>
      <c r="F87" s="690" t="str">
        <f>"Adjustments Budget - councillor and staff benefits"</f>
        <v>Adjustments Budget - councillor and staff benefits</v>
      </c>
    </row>
    <row r="88" spans="1:6">
      <c r="A88" s="682" t="s">
        <v>444</v>
      </c>
      <c r="B88" s="673" t="str">
        <f t="shared" si="0"/>
        <v>Supporting Table SB12 Consolidated Adjustments Budget - monthly revenue and expenditure (municipal vote)</v>
      </c>
      <c r="C88" s="673"/>
      <c r="D88" s="689" t="str">
        <f>D100&amp;"Table SB12 "</f>
        <v xml:space="preserve">Supporting Table SB12 </v>
      </c>
      <c r="E88" s="674" t="str">
        <f t="shared" si="1"/>
        <v>Consolidated Adjustments Budget - monthly revenue and expenditure (municipal vote)</v>
      </c>
      <c r="F88" s="691" t="str">
        <f>"Adjustments Budget - monthly revenue and expenditure (municipal vote)"</f>
        <v>Adjustments Budget - monthly revenue and expenditure (municipal vote)</v>
      </c>
    </row>
    <row r="89" spans="1:6">
      <c r="A89" s="682" t="s">
        <v>445</v>
      </c>
      <c r="B89" s="673" t="str">
        <f t="shared" si="0"/>
        <v>Supporting Table SB13 Consolidated Adjustments Budget - monthly revenue and expenditure (standard classification)</v>
      </c>
      <c r="C89" s="673"/>
      <c r="D89" s="689" t="str">
        <f>D100&amp;"Table SB13 "</f>
        <v xml:space="preserve">Supporting Table SB13 </v>
      </c>
      <c r="E89" s="674" t="str">
        <f t="shared" si="1"/>
        <v>Consolidated Adjustments Budget - monthly revenue and expenditure (standard classification)</v>
      </c>
      <c r="F89" s="674" t="str">
        <f>"Adjustments Budget - monthly revenue and expenditure (standard classification)"</f>
        <v>Adjustments Budget - monthly revenue and expenditure (standard classification)</v>
      </c>
    </row>
    <row r="90" spans="1:6">
      <c r="A90" s="682" t="s">
        <v>446</v>
      </c>
      <c r="B90" s="673" t="str">
        <f t="shared" si="0"/>
        <v>Supporting Table SB14 Consolidated Adjustments Budget - monthly revenue and expenditure</v>
      </c>
      <c r="C90" s="673"/>
      <c r="D90" s="689" t="str">
        <f>D100&amp;"Table SB14 "</f>
        <v xml:space="preserve">Supporting Table SB14 </v>
      </c>
      <c r="E90" s="674" t="str">
        <f t="shared" si="1"/>
        <v>Consolidated Adjustments Budget - monthly revenue and expenditure</v>
      </c>
      <c r="F90" s="674" t="str">
        <f>"Adjustments Budget - monthly revenue and expenditure"</f>
        <v>Adjustments Budget - monthly revenue and expenditure</v>
      </c>
    </row>
    <row r="91" spans="1:6">
      <c r="A91" s="682" t="s">
        <v>447</v>
      </c>
      <c r="B91" s="673" t="str">
        <f t="shared" si="0"/>
        <v>Supporting Table SB15 Consolidated Adjustments Budget - monthly cash flow</v>
      </c>
      <c r="C91" s="673"/>
      <c r="D91" s="689" t="str">
        <f>D100&amp;"Table SB15 "</f>
        <v xml:space="preserve">Supporting Table SB15 </v>
      </c>
      <c r="E91" s="674" t="str">
        <f t="shared" si="1"/>
        <v>Consolidated Adjustments Budget - monthly cash flow</v>
      </c>
      <c r="F91" s="674" t="str">
        <f>"Adjustments Budget - monthly cash flow"</f>
        <v>Adjustments Budget - monthly cash flow</v>
      </c>
    </row>
    <row r="92" spans="1:6">
      <c r="A92" s="682" t="s">
        <v>448</v>
      </c>
      <c r="B92" s="673" t="str">
        <f t="shared" si="0"/>
        <v>Supporting Table SB16 Consolidated Adjustments Budget - monthly capital expenditure (municipal vote)</v>
      </c>
      <c r="C92" s="673"/>
      <c r="D92" s="689" t="str">
        <f>D100&amp;"Table SB16 "</f>
        <v xml:space="preserve">Supporting Table SB16 </v>
      </c>
      <c r="E92" s="674" t="str">
        <f t="shared" si="1"/>
        <v>Consolidated Adjustments Budget - monthly capital expenditure (municipal vote)</v>
      </c>
      <c r="F92" s="674" t="str">
        <f>"Adjustments Budget - monthly capital expenditure (municipal vote)"</f>
        <v>Adjustments Budget - monthly capital expenditure (municipal vote)</v>
      </c>
    </row>
    <row r="93" spans="1:6">
      <c r="A93" s="682" t="s">
        <v>449</v>
      </c>
      <c r="B93" s="673" t="str">
        <f t="shared" si="0"/>
        <v>Supporting Table SB17 Consolidated Adjustments Budget - monthly capital expenditure (standard classification)</v>
      </c>
      <c r="C93" s="673"/>
      <c r="D93" s="689" t="str">
        <f>D100&amp;"Table SB17 "</f>
        <v xml:space="preserve">Supporting Table SB17 </v>
      </c>
      <c r="E93" s="674" t="str">
        <f t="shared" si="1"/>
        <v>Consolidated Adjustments Budget - monthly capital expenditure (standard classification)</v>
      </c>
      <c r="F93" s="674" t="str">
        <f>"Adjustments Budget - monthly capital expenditure (standard classification)"</f>
        <v>Adjustments Budget - monthly capital expenditure (standard classification)</v>
      </c>
    </row>
    <row r="94" spans="1:6">
      <c r="A94" s="682" t="s">
        <v>1338</v>
      </c>
      <c r="B94" s="673" t="str">
        <f t="shared" si="0"/>
        <v>Supporting Table SB18a Consolidated Adjustments Budget - capital expenditure on new assets by asset class</v>
      </c>
      <c r="C94" s="673"/>
      <c r="D94" s="689" t="str">
        <f>D100&amp;"Table SB18a "</f>
        <v xml:space="preserve">Supporting Table SB18a </v>
      </c>
      <c r="E94" s="674" t="str">
        <f t="shared" si="1"/>
        <v>Consolidated Adjustments Budget - capital expenditure on new assets by asset class</v>
      </c>
      <c r="F94" s="674" t="str">
        <f>"Adjustments Budget - capital expenditure on new assets by asset class"</f>
        <v>Adjustments Budget - capital expenditure on new assets by asset class</v>
      </c>
    </row>
    <row r="95" spans="1:6">
      <c r="A95" s="682" t="s">
        <v>1339</v>
      </c>
      <c r="B95" s="673" t="str">
        <f t="shared" si="0"/>
        <v>Supporting Table SB18b Consolidated Adjustments Budget - capital expenditure on renewal of existing assets by asset class</v>
      </c>
      <c r="C95" s="673"/>
      <c r="D95" s="689" t="str">
        <f>D100&amp;"Table SB18b "</f>
        <v xml:space="preserve">Supporting Table SB18b </v>
      </c>
      <c r="E95" s="674" t="str">
        <f>"Consolidated "&amp;F95</f>
        <v>Consolidated Adjustments Budget - capital expenditure on renewal of existing assets by asset class</v>
      </c>
      <c r="F95" s="674" t="str">
        <f>"Adjustments Budget - capital expenditure on renewal of existing assets by asset class"</f>
        <v>Adjustments Budget - capital expenditure on renewal of existing assets by asset class</v>
      </c>
    </row>
    <row r="96" spans="1:6">
      <c r="A96" s="682" t="s">
        <v>1340</v>
      </c>
      <c r="B96" s="673" t="str">
        <f t="shared" si="0"/>
        <v>Supporting Table SB18c Consolidated Adjustments Budget - expenditure on repairs and maintenance by asset class</v>
      </c>
      <c r="C96" s="673"/>
      <c r="D96" s="689" t="str">
        <f>D100&amp;"Table SB18c "</f>
        <v xml:space="preserve">Supporting Table SB18c </v>
      </c>
      <c r="E96" s="674" t="str">
        <f>"Consolidated "&amp;F96</f>
        <v>Consolidated Adjustments Budget - expenditure on repairs and maintenance by asset class</v>
      </c>
      <c r="F96" s="674" t="str">
        <f>"Adjustments Budget - expenditure on repairs and maintenance by asset class"</f>
        <v>Adjustments Budget - expenditure on repairs and maintenance by asset class</v>
      </c>
    </row>
    <row r="97" spans="1:6">
      <c r="A97" s="682" t="s">
        <v>1524</v>
      </c>
      <c r="B97" s="673" t="str">
        <f t="shared" si="0"/>
        <v>Supporting Table SB18d Consolidated Adjustments Budget - depreciation by asset class</v>
      </c>
      <c r="C97" s="673"/>
      <c r="D97" s="689" t="str">
        <f>D100&amp;"Table SB18d "</f>
        <v xml:space="preserve">Supporting Table SB18d </v>
      </c>
      <c r="E97" s="674" t="str">
        <f>"Consolidated "&amp;F97</f>
        <v>Consolidated Adjustments Budget - depreciation by asset class</v>
      </c>
      <c r="F97" s="674" t="str">
        <f>"Adjustments Budget - depreciation by asset class"</f>
        <v>Adjustments Budget - depreciation by asset class</v>
      </c>
    </row>
    <row r="98" spans="1:6">
      <c r="A98" s="682" t="s">
        <v>450</v>
      </c>
      <c r="B98" s="673" t="str">
        <f t="shared" si="0"/>
        <v>Supporting Table SB19 Consolidated List of capital programmes and projects affected by Adjustments Budget</v>
      </c>
      <c r="C98" s="673"/>
      <c r="D98" s="689" t="str">
        <f>D100&amp;"Table SB19 "</f>
        <v xml:space="preserve">Supporting Table SB19 </v>
      </c>
      <c r="E98" s="674" t="str">
        <f t="shared" si="1"/>
        <v>Consolidated List of capital programmes and projects affected by Adjustments Budget</v>
      </c>
      <c r="F98" s="674" t="str">
        <f>"List of capital programmes and projects affected by Adjustments Budget"</f>
        <v>List of capital programmes and projects affected by Adjustments Budget</v>
      </c>
    </row>
    <row r="99" spans="1:6">
      <c r="A99" s="692" t="s">
        <v>451</v>
      </c>
      <c r="B99" s="673" t="str">
        <f t="shared" si="0"/>
        <v>Supporting Table SB20 Adjusted Budget Municipal Entity Performance Summary</v>
      </c>
      <c r="C99" s="679"/>
      <c r="D99" s="693" t="str">
        <f>D100&amp;"Table SB20 "</f>
        <v xml:space="preserve">Supporting Table SB20 </v>
      </c>
      <c r="E99" s="674" t="str">
        <f>"Adjusted Budget Municipal Entity Performance Summary"</f>
        <v>Adjusted Budget Municipal Entity Performance Summary</v>
      </c>
      <c r="F99" s="674" t="s">
        <v>452</v>
      </c>
    </row>
    <row r="100" spans="1:6">
      <c r="A100" s="674"/>
      <c r="D100" s="674" t="s">
        <v>453</v>
      </c>
    </row>
    <row r="101" spans="1:6">
      <c r="A101" s="674"/>
    </row>
    <row r="102" spans="1:6">
      <c r="A102" s="674"/>
    </row>
    <row r="103" spans="1:6">
      <c r="D103" s="694"/>
    </row>
  </sheetData>
  <sheetProtection formatCells="0" selectLockedCells="1"/>
  <mergeCells count="3">
    <mergeCell ref="A1:D1"/>
    <mergeCell ref="A62:D62"/>
    <mergeCell ref="A66:B66"/>
  </mergeCells>
  <phoneticPr fontId="17"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sheetPr codeName="Sheet101" enableFormatConditionsCalculation="0">
    <tabColor indexed="42"/>
    <pageSetUpPr fitToPage="1"/>
  </sheetPr>
  <dimension ref="A1:O190"/>
  <sheetViews>
    <sheetView showGridLines="0" tabSelected="1" workbookViewId="0">
      <pane xSplit="2" ySplit="5" topLeftCell="C6" activePane="bottomRight" state="frozen"/>
      <selection activeCell="M17" sqref="M17:M63"/>
      <selection pane="topRight" activeCell="M17" sqref="M17:M63"/>
      <selection pane="bottomLeft" activeCell="M17" sqref="M17:M63"/>
      <selection pane="bottomRight" activeCell="E23" sqref="E23"/>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c r="A1" s="57" t="str">
        <f>muni&amp;" - "&amp;ADJB11&amp;" - "&amp;Date</f>
        <v>LIM333 Greater Tzaneen - Supporting Table SB11 Consolidated Adjustments Budget - councillor and staff benefits - 26 FEBRUARY 2014</v>
      </c>
      <c r="B1" s="5"/>
      <c r="C1" s="58"/>
    </row>
    <row r="2" spans="1:14">
      <c r="A2" s="1327" t="s">
        <v>194</v>
      </c>
      <c r="B2" s="1322" t="str">
        <f>head27</f>
        <v>Ref</v>
      </c>
      <c r="C2" s="1319" t="str">
        <f>Head2</f>
        <v>Budget Year 2013/14</v>
      </c>
      <c r="D2" s="1320"/>
      <c r="E2" s="1320"/>
      <c r="F2" s="1320"/>
      <c r="G2" s="1320"/>
      <c r="H2" s="1320"/>
      <c r="I2" s="1320"/>
      <c r="J2" s="1320"/>
      <c r="K2" s="1362"/>
      <c r="L2" s="522"/>
    </row>
    <row r="3" spans="1:14" ht="25.5">
      <c r="A3" s="1328"/>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23" t="str">
        <f>Head7</f>
        <v>Adjusted Budget</v>
      </c>
      <c r="L3" s="524" t="s">
        <v>195</v>
      </c>
    </row>
    <row r="4" spans="1:14">
      <c r="A4" s="64"/>
      <c r="B4" s="299"/>
      <c r="C4" s="65"/>
      <c r="D4" s="15">
        <v>5</v>
      </c>
      <c r="E4" s="15">
        <v>6</v>
      </c>
      <c r="F4" s="15">
        <v>7</v>
      </c>
      <c r="G4" s="15">
        <v>8</v>
      </c>
      <c r="H4" s="15">
        <v>9</v>
      </c>
      <c r="I4" s="16">
        <v>10</v>
      </c>
      <c r="J4" s="16">
        <v>11</v>
      </c>
      <c r="K4" s="16">
        <v>12</v>
      </c>
      <c r="L4" s="73"/>
    </row>
    <row r="5" spans="1:14">
      <c r="A5" s="66" t="s">
        <v>643</v>
      </c>
      <c r="B5" s="104"/>
      <c r="C5" s="67" t="s">
        <v>583</v>
      </c>
      <c r="D5" s="68" t="s">
        <v>584</v>
      </c>
      <c r="E5" s="68" t="s">
        <v>585</v>
      </c>
      <c r="F5" s="69" t="s">
        <v>586</v>
      </c>
      <c r="G5" s="69" t="s">
        <v>587</v>
      </c>
      <c r="H5" s="69" t="s">
        <v>588</v>
      </c>
      <c r="I5" s="70" t="s">
        <v>589</v>
      </c>
      <c r="J5" s="525" t="s">
        <v>590</v>
      </c>
      <c r="K5" s="526" t="s">
        <v>591</v>
      </c>
      <c r="L5" s="73"/>
    </row>
    <row r="6" spans="1:14" ht="12.75" customHeight="1">
      <c r="A6" s="527" t="s">
        <v>196</v>
      </c>
      <c r="B6" s="105"/>
      <c r="C6" s="74"/>
      <c r="D6" s="75"/>
      <c r="E6" s="75"/>
      <c r="F6" s="75"/>
      <c r="G6" s="75"/>
      <c r="H6" s="75"/>
      <c r="I6" s="75"/>
      <c r="J6" s="528"/>
      <c r="K6" s="528"/>
      <c r="L6" s="73"/>
    </row>
    <row r="7" spans="1:14" ht="12.75" customHeight="1">
      <c r="A7" s="609" t="s">
        <v>204</v>
      </c>
      <c r="B7" s="73"/>
      <c r="C7" s="129">
        <v>18618694</v>
      </c>
      <c r="D7" s="109"/>
      <c r="E7" s="529"/>
      <c r="F7" s="529"/>
      <c r="G7" s="109"/>
      <c r="H7" s="529"/>
      <c r="I7" s="109"/>
      <c r="J7" s="528">
        <f t="shared" ref="J7:J13" si="0">G7+I7</f>
        <v>0</v>
      </c>
      <c r="K7" s="528">
        <f t="shared" ref="K7:K13" si="1">IF(D7=0,C7+J7,D7+J7)</f>
        <v>18618694</v>
      </c>
      <c r="L7" s="530">
        <f>IF(K7=0,"",(K7/C7)-1)</f>
        <v>0</v>
      </c>
    </row>
    <row r="8" spans="1:14" ht="12.75" customHeight="1">
      <c r="A8" s="609" t="s">
        <v>1577</v>
      </c>
      <c r="B8" s="73"/>
      <c r="C8" s="129"/>
      <c r="D8" s="109"/>
      <c r="E8" s="529"/>
      <c r="F8" s="529"/>
      <c r="G8" s="109"/>
      <c r="H8" s="529"/>
      <c r="I8" s="109"/>
      <c r="J8" s="528">
        <f t="shared" si="0"/>
        <v>0</v>
      </c>
      <c r="K8" s="528">
        <f t="shared" si="1"/>
        <v>0</v>
      </c>
      <c r="L8" s="530" t="str">
        <f>IF(K8=0,"",(K8/C8)-1)</f>
        <v/>
      </c>
    </row>
    <row r="9" spans="1:14" ht="12.75" customHeight="1">
      <c r="A9" s="609" t="s">
        <v>197</v>
      </c>
      <c r="B9" s="73"/>
      <c r="C9" s="129"/>
      <c r="D9" s="109"/>
      <c r="E9" s="529"/>
      <c r="F9" s="529"/>
      <c r="G9" s="109"/>
      <c r="H9" s="529"/>
      <c r="I9" s="109"/>
      <c r="J9" s="528">
        <f t="shared" si="0"/>
        <v>0</v>
      </c>
      <c r="K9" s="528">
        <f t="shared" si="1"/>
        <v>0</v>
      </c>
      <c r="L9" s="530" t="str">
        <f>IF(K9=0,"",(K9/C9)-1)</f>
        <v/>
      </c>
    </row>
    <row r="10" spans="1:14" ht="12.75" customHeight="1">
      <c r="A10" s="609" t="s">
        <v>1578</v>
      </c>
      <c r="B10" s="73"/>
      <c r="C10" s="129"/>
      <c r="D10" s="109"/>
      <c r="E10" s="529"/>
      <c r="F10" s="529"/>
      <c r="G10" s="109"/>
      <c r="H10" s="529"/>
      <c r="I10" s="109"/>
      <c r="J10" s="528">
        <f t="shared" si="0"/>
        <v>0</v>
      </c>
      <c r="K10" s="528">
        <f t="shared" si="1"/>
        <v>0</v>
      </c>
      <c r="L10" s="530" t="str">
        <f>IF(K10=0,"",(K10/C10)-1)</f>
        <v/>
      </c>
    </row>
    <row r="11" spans="1:14" ht="12.75" customHeight="1">
      <c r="A11" s="128" t="s">
        <v>1579</v>
      </c>
      <c r="B11" s="73"/>
      <c r="C11" s="129"/>
      <c r="D11" s="109"/>
      <c r="E11" s="529"/>
      <c r="F11" s="529"/>
      <c r="G11" s="109"/>
      <c r="H11" s="529"/>
      <c r="I11" s="109"/>
      <c r="J11" s="528">
        <f t="shared" si="0"/>
        <v>0</v>
      </c>
      <c r="K11" s="528">
        <f t="shared" si="1"/>
        <v>0</v>
      </c>
      <c r="L11" s="530"/>
    </row>
    <row r="12" spans="1:14" ht="12.75" customHeight="1">
      <c r="A12" s="128" t="s">
        <v>1580</v>
      </c>
      <c r="B12" s="73"/>
      <c r="C12" s="129"/>
      <c r="D12" s="109"/>
      <c r="E12" s="529"/>
      <c r="F12" s="529"/>
      <c r="G12" s="109"/>
      <c r="H12" s="529"/>
      <c r="I12" s="109"/>
      <c r="J12" s="528">
        <f t="shared" si="0"/>
        <v>0</v>
      </c>
      <c r="K12" s="528">
        <f t="shared" si="1"/>
        <v>0</v>
      </c>
      <c r="L12" s="530"/>
      <c r="N12" s="127"/>
    </row>
    <row r="13" spans="1:14" ht="12.75" customHeight="1">
      <c r="A13" s="128" t="s">
        <v>1351</v>
      </c>
      <c r="B13" s="73"/>
      <c r="C13" s="129"/>
      <c r="D13" s="109"/>
      <c r="E13" s="529"/>
      <c r="F13" s="529"/>
      <c r="G13" s="109"/>
      <c r="H13" s="529"/>
      <c r="I13" s="109"/>
      <c r="J13" s="528">
        <f t="shared" si="0"/>
        <v>0</v>
      </c>
      <c r="K13" s="528">
        <f t="shared" si="1"/>
        <v>0</v>
      </c>
      <c r="L13" s="530"/>
      <c r="N13" s="127"/>
    </row>
    <row r="14" spans="1:14" ht="12.75" customHeight="1">
      <c r="A14" s="138" t="s">
        <v>198</v>
      </c>
      <c r="B14" s="73"/>
      <c r="C14" s="304">
        <f>SUM(C7:C13)</f>
        <v>18618694</v>
      </c>
      <c r="D14" s="150">
        <f>SUM(D7:D13)</f>
        <v>0</v>
      </c>
      <c r="E14" s="531"/>
      <c r="F14" s="531"/>
      <c r="G14" s="150">
        <f>SUM(G7:G13)</f>
        <v>0</v>
      </c>
      <c r="H14" s="531"/>
      <c r="I14" s="150">
        <f>SUM(I7:I13)</f>
        <v>0</v>
      </c>
      <c r="J14" s="150">
        <f>SUM(J7:J13)</f>
        <v>0</v>
      </c>
      <c r="K14" s="151">
        <f>SUM(K7:K13)</f>
        <v>18618694</v>
      </c>
      <c r="L14" s="532">
        <f>IF(K14=0,"",(K14/C14)-1)</f>
        <v>0</v>
      </c>
    </row>
    <row r="15" spans="1:14" ht="12.75" customHeight="1">
      <c r="A15" s="857" t="s">
        <v>199</v>
      </c>
      <c r="B15" s="73"/>
      <c r="C15" s="533"/>
      <c r="D15" s="140">
        <f>IF(ISERROR((D14/C14)-1),0,((D14/C14)-1))</f>
        <v>-1</v>
      </c>
      <c r="E15" s="534"/>
      <c r="F15" s="534"/>
      <c r="G15" s="534"/>
      <c r="H15" s="534"/>
      <c r="I15" s="534"/>
      <c r="J15" s="535"/>
      <c r="K15" s="536">
        <f>IF(ISERROR((K14/J14)-1),0,((K14/J14)-1))</f>
        <v>0</v>
      </c>
      <c r="L15" s="532"/>
    </row>
    <row r="16" spans="1:14" ht="3.75" customHeight="1">
      <c r="A16" s="138"/>
      <c r="B16" s="73"/>
      <c r="C16" s="139"/>
      <c r="D16" s="140"/>
      <c r="E16" s="534"/>
      <c r="F16" s="534"/>
      <c r="G16" s="140"/>
      <c r="H16" s="534"/>
      <c r="I16" s="140"/>
      <c r="J16" s="536"/>
      <c r="K16" s="536"/>
      <c r="L16" s="532"/>
    </row>
    <row r="17" spans="1:12" ht="12.75" customHeight="1">
      <c r="A17" s="125" t="s">
        <v>200</v>
      </c>
      <c r="B17" s="73"/>
      <c r="C17" s="74"/>
      <c r="D17" s="75"/>
      <c r="E17" s="75"/>
      <c r="F17" s="75"/>
      <c r="G17" s="75"/>
      <c r="H17" s="75"/>
      <c r="I17" s="75"/>
      <c r="J17" s="528"/>
      <c r="K17" s="528"/>
      <c r="L17" s="530"/>
    </row>
    <row r="18" spans="1:12" ht="12.75" customHeight="1">
      <c r="A18" s="128" t="s">
        <v>204</v>
      </c>
      <c r="B18" s="73"/>
      <c r="C18" s="129">
        <v>7527450</v>
      </c>
      <c r="D18" s="109"/>
      <c r="E18" s="109"/>
      <c r="F18" s="529"/>
      <c r="G18" s="109"/>
      <c r="H18" s="529"/>
      <c r="I18" s="109"/>
      <c r="J18" s="528">
        <f t="shared" ref="J18:J29" si="2">E18+G18+I18</f>
        <v>0</v>
      </c>
      <c r="K18" s="528">
        <f t="shared" ref="K18:K29" si="3">IF(D18=0,C18+J18,D18+J18)</f>
        <v>7527450</v>
      </c>
      <c r="L18" s="530">
        <f t="shared" ref="L18:L30" si="4">IF(K18=0,"",(K18/C18)-1)</f>
        <v>0</v>
      </c>
    </row>
    <row r="19" spans="1:12" ht="12.75" customHeight="1">
      <c r="A19" s="128" t="s">
        <v>1577</v>
      </c>
      <c r="B19" s="73"/>
      <c r="C19" s="129"/>
      <c r="D19" s="109"/>
      <c r="E19" s="109"/>
      <c r="F19" s="529"/>
      <c r="G19" s="109"/>
      <c r="H19" s="529"/>
      <c r="I19" s="109"/>
      <c r="J19" s="528">
        <f t="shared" si="2"/>
        <v>0</v>
      </c>
      <c r="K19" s="528">
        <f t="shared" si="3"/>
        <v>0</v>
      </c>
      <c r="L19" s="530" t="str">
        <f t="shared" si="4"/>
        <v/>
      </c>
    </row>
    <row r="20" spans="1:12" ht="12.75" customHeight="1">
      <c r="A20" s="128" t="s">
        <v>197</v>
      </c>
      <c r="B20" s="73"/>
      <c r="C20" s="129"/>
      <c r="D20" s="109"/>
      <c r="E20" s="109"/>
      <c r="F20" s="529"/>
      <c r="G20" s="109"/>
      <c r="H20" s="529"/>
      <c r="I20" s="109"/>
      <c r="J20" s="528">
        <f t="shared" si="2"/>
        <v>0</v>
      </c>
      <c r="K20" s="528">
        <f t="shared" si="3"/>
        <v>0</v>
      </c>
      <c r="L20" s="530" t="str">
        <f t="shared" si="4"/>
        <v/>
      </c>
    </row>
    <row r="21" spans="1:12" ht="12.75" customHeight="1">
      <c r="A21" s="128" t="s">
        <v>1315</v>
      </c>
      <c r="B21" s="73"/>
      <c r="C21" s="129"/>
      <c r="D21" s="109"/>
      <c r="E21" s="109"/>
      <c r="F21" s="529"/>
      <c r="G21" s="109"/>
      <c r="H21" s="529"/>
      <c r="I21" s="109"/>
      <c r="J21" s="528">
        <f>E21+G21+I21</f>
        <v>0</v>
      </c>
      <c r="K21" s="528">
        <f t="shared" si="3"/>
        <v>0</v>
      </c>
      <c r="L21" s="530" t="str">
        <f t="shared" si="4"/>
        <v/>
      </c>
    </row>
    <row r="22" spans="1:12" ht="12.75" customHeight="1">
      <c r="A22" s="128" t="s">
        <v>201</v>
      </c>
      <c r="B22" s="73"/>
      <c r="C22" s="129">
        <v>752745</v>
      </c>
      <c r="D22" s="109"/>
      <c r="E22" s="109"/>
      <c r="F22" s="529"/>
      <c r="G22" s="109"/>
      <c r="H22" s="529"/>
      <c r="I22" s="109"/>
      <c r="J22" s="528">
        <f>E22+G22+I22</f>
        <v>0</v>
      </c>
      <c r="K22" s="528">
        <f>IF(D22=0,C22+J22,D22+J22)</f>
        <v>752745</v>
      </c>
      <c r="L22" s="530"/>
    </row>
    <row r="23" spans="1:12" ht="12.75" customHeight="1">
      <c r="A23" s="128" t="s">
        <v>1578</v>
      </c>
      <c r="B23" s="73"/>
      <c r="C23" s="129"/>
      <c r="D23" s="109"/>
      <c r="E23" s="109"/>
      <c r="F23" s="529"/>
      <c r="G23" s="109"/>
      <c r="H23" s="529"/>
      <c r="I23" s="109"/>
      <c r="J23" s="528">
        <f t="shared" si="2"/>
        <v>0</v>
      </c>
      <c r="K23" s="528">
        <f t="shared" si="3"/>
        <v>0</v>
      </c>
      <c r="L23" s="530" t="str">
        <f t="shared" si="4"/>
        <v/>
      </c>
    </row>
    <row r="24" spans="1:12" ht="12.75" customHeight="1">
      <c r="A24" s="128" t="s">
        <v>1579</v>
      </c>
      <c r="B24" s="73"/>
      <c r="C24" s="129"/>
      <c r="D24" s="109"/>
      <c r="E24" s="109"/>
      <c r="F24" s="529"/>
      <c r="G24" s="109"/>
      <c r="H24" s="529"/>
      <c r="I24" s="109"/>
      <c r="J24" s="528">
        <f t="shared" si="2"/>
        <v>0</v>
      </c>
      <c r="K24" s="528">
        <f t="shared" si="3"/>
        <v>0</v>
      </c>
      <c r="L24" s="530" t="str">
        <f t="shared" si="4"/>
        <v/>
      </c>
    </row>
    <row r="25" spans="1:12" ht="12.75" customHeight="1">
      <c r="A25" s="128" t="s">
        <v>1580</v>
      </c>
      <c r="B25" s="73"/>
      <c r="C25" s="129"/>
      <c r="D25" s="109"/>
      <c r="E25" s="109"/>
      <c r="F25" s="529"/>
      <c r="G25" s="109"/>
      <c r="H25" s="529"/>
      <c r="I25" s="109"/>
      <c r="J25" s="528">
        <f>E25+G25+I25</f>
        <v>0</v>
      </c>
      <c r="K25" s="528">
        <f>IF(D25=0,C25+J25,D25+J25)</f>
        <v>0</v>
      </c>
      <c r="L25" s="530"/>
    </row>
    <row r="26" spans="1:12" ht="12.75" customHeight="1">
      <c r="A26" s="128" t="s">
        <v>1351</v>
      </c>
      <c r="B26" s="73"/>
      <c r="C26" s="129"/>
      <c r="D26" s="109"/>
      <c r="E26" s="109"/>
      <c r="F26" s="529"/>
      <c r="G26" s="109"/>
      <c r="H26" s="529"/>
      <c r="I26" s="109"/>
      <c r="J26" s="528">
        <f>E26+G26+I26</f>
        <v>0</v>
      </c>
      <c r="K26" s="528">
        <f>IF(D26=0,C26+J26,D26+J26)</f>
        <v>0</v>
      </c>
      <c r="L26" s="530"/>
    </row>
    <row r="27" spans="1:12" ht="12.75" customHeight="1">
      <c r="A27" s="128" t="s">
        <v>1317</v>
      </c>
      <c r="B27" s="73"/>
      <c r="C27" s="129"/>
      <c r="D27" s="109"/>
      <c r="E27" s="109"/>
      <c r="F27" s="529"/>
      <c r="G27" s="109"/>
      <c r="H27" s="529"/>
      <c r="I27" s="109"/>
      <c r="J27" s="528">
        <f>E27+G27+I27</f>
        <v>0</v>
      </c>
      <c r="K27" s="528">
        <f>IF(D27=0,C27+J27,D27+J27)</f>
        <v>0</v>
      </c>
      <c r="L27" s="530"/>
    </row>
    <row r="28" spans="1:12" ht="12.75" customHeight="1">
      <c r="A28" s="128" t="s">
        <v>1316</v>
      </c>
      <c r="B28" s="73"/>
      <c r="C28" s="129"/>
      <c r="D28" s="109"/>
      <c r="E28" s="109"/>
      <c r="F28" s="529"/>
      <c r="G28" s="109"/>
      <c r="H28" s="529"/>
      <c r="I28" s="109"/>
      <c r="J28" s="528">
        <f t="shared" si="2"/>
        <v>0</v>
      </c>
      <c r="K28" s="528">
        <f t="shared" si="3"/>
        <v>0</v>
      </c>
      <c r="L28" s="530" t="str">
        <f t="shared" si="4"/>
        <v/>
      </c>
    </row>
    <row r="29" spans="1:12" ht="12.75" customHeight="1">
      <c r="A29" s="128" t="s">
        <v>1318</v>
      </c>
      <c r="B29" s="73">
        <v>5</v>
      </c>
      <c r="C29" s="129"/>
      <c r="D29" s="109"/>
      <c r="E29" s="109"/>
      <c r="F29" s="529"/>
      <c r="G29" s="109"/>
      <c r="H29" s="529"/>
      <c r="I29" s="109"/>
      <c r="J29" s="528">
        <f t="shared" si="2"/>
        <v>0</v>
      </c>
      <c r="K29" s="528">
        <f t="shared" si="3"/>
        <v>0</v>
      </c>
      <c r="L29" s="530" t="str">
        <f t="shared" si="4"/>
        <v/>
      </c>
    </row>
    <row r="30" spans="1:12" ht="12.75" customHeight="1">
      <c r="A30" s="138" t="s">
        <v>202</v>
      </c>
      <c r="B30" s="73"/>
      <c r="C30" s="304">
        <f>SUM(C18:C29)</f>
        <v>8280195</v>
      </c>
      <c r="D30" s="150">
        <f>SUM(D18:D29)</f>
        <v>0</v>
      </c>
      <c r="E30" s="150">
        <f>SUM(E18:E29)</f>
        <v>0</v>
      </c>
      <c r="F30" s="531"/>
      <c r="G30" s="150">
        <f>SUM(G18:G29)</f>
        <v>0</v>
      </c>
      <c r="H30" s="531"/>
      <c r="I30" s="150">
        <f>SUM(I18:I29)</f>
        <v>0</v>
      </c>
      <c r="J30" s="150">
        <f>SUM(J18:J29)</f>
        <v>0</v>
      </c>
      <c r="K30" s="151">
        <f>SUM(K18:K29)</f>
        <v>8280195</v>
      </c>
      <c r="L30" s="532">
        <f t="shared" si="4"/>
        <v>0</v>
      </c>
    </row>
    <row r="31" spans="1:12" ht="12.75" customHeight="1">
      <c r="A31" s="857" t="str">
        <f>$A$15</f>
        <v>% increase</v>
      </c>
      <c r="B31" s="73"/>
      <c r="C31" s="533"/>
      <c r="D31" s="140">
        <f>IF(ISERROR((D30/C30)-1),0,((D30/C30)-1))</f>
        <v>-1</v>
      </c>
      <c r="E31" s="534"/>
      <c r="F31" s="534"/>
      <c r="G31" s="534"/>
      <c r="H31" s="534"/>
      <c r="I31" s="534"/>
      <c r="J31" s="535"/>
      <c r="K31" s="536">
        <f>IF(ISERROR((K30/J30)-1),0,((K30/J30)-1))</f>
        <v>0</v>
      </c>
      <c r="L31" s="532"/>
    </row>
    <row r="32" spans="1:12" ht="4.5" customHeight="1">
      <c r="A32" s="138"/>
      <c r="B32" s="73"/>
      <c r="C32" s="139"/>
      <c r="D32" s="140"/>
      <c r="E32" s="140"/>
      <c r="F32" s="534"/>
      <c r="G32" s="140"/>
      <c r="H32" s="534"/>
      <c r="I32" s="140"/>
      <c r="J32" s="536"/>
      <c r="K32" s="536"/>
      <c r="L32" s="532"/>
    </row>
    <row r="33" spans="1:12" ht="12.75" customHeight="1">
      <c r="A33" s="125" t="s">
        <v>203</v>
      </c>
      <c r="B33" s="73"/>
      <c r="C33" s="74"/>
      <c r="D33" s="75"/>
      <c r="E33" s="75"/>
      <c r="F33" s="75"/>
      <c r="G33" s="75"/>
      <c r="H33" s="75"/>
      <c r="I33" s="75"/>
      <c r="J33" s="528"/>
      <c r="K33" s="528"/>
      <c r="L33" s="530"/>
    </row>
    <row r="34" spans="1:12" ht="12.75" customHeight="1">
      <c r="A34" s="128" t="s">
        <v>204</v>
      </c>
      <c r="B34" s="73"/>
      <c r="C34" s="129">
        <v>126707434</v>
      </c>
      <c r="D34" s="109"/>
      <c r="E34" s="109"/>
      <c r="F34" s="109"/>
      <c r="G34" s="109"/>
      <c r="H34" s="109"/>
      <c r="I34" s="109"/>
      <c r="J34" s="528">
        <f t="shared" ref="J34:J45" si="5">SUM(E34:I34)</f>
        <v>0</v>
      </c>
      <c r="K34" s="528">
        <f t="shared" ref="K34:K45" si="6">IF(D34=0,C34+J34,D34+J34)</f>
        <v>126707434</v>
      </c>
      <c r="L34" s="530">
        <f t="shared" ref="L34:L46" si="7">IF(K34=0,"",(K34/C34)-1)</f>
        <v>0</v>
      </c>
    </row>
    <row r="35" spans="1:12" ht="12.75" customHeight="1">
      <c r="A35" s="128" t="s">
        <v>1577</v>
      </c>
      <c r="B35" s="73"/>
      <c r="C35" s="129">
        <v>24106329</v>
      </c>
      <c r="D35" s="109"/>
      <c r="E35" s="109"/>
      <c r="F35" s="109"/>
      <c r="G35" s="109"/>
      <c r="H35" s="109"/>
      <c r="I35" s="109"/>
      <c r="J35" s="528">
        <f t="shared" si="5"/>
        <v>0</v>
      </c>
      <c r="K35" s="528">
        <f t="shared" si="6"/>
        <v>24106329</v>
      </c>
      <c r="L35" s="530">
        <f t="shared" si="7"/>
        <v>0</v>
      </c>
    </row>
    <row r="36" spans="1:12" ht="12.75" customHeight="1">
      <c r="A36" s="128" t="s">
        <v>197</v>
      </c>
      <c r="B36" s="73"/>
      <c r="C36" s="129">
        <v>8585051</v>
      </c>
      <c r="D36" s="109"/>
      <c r="E36" s="109"/>
      <c r="F36" s="109"/>
      <c r="G36" s="109"/>
      <c r="H36" s="109"/>
      <c r="I36" s="109"/>
      <c r="J36" s="528">
        <f t="shared" si="5"/>
        <v>0</v>
      </c>
      <c r="K36" s="528">
        <f t="shared" si="6"/>
        <v>8585051</v>
      </c>
      <c r="L36" s="530">
        <f t="shared" si="7"/>
        <v>0</v>
      </c>
    </row>
    <row r="37" spans="1:12" ht="12.75" customHeight="1">
      <c r="A37" s="128" t="s">
        <v>1315</v>
      </c>
      <c r="B37" s="73"/>
      <c r="C37" s="129">
        <v>9094459</v>
      </c>
      <c r="D37" s="109"/>
      <c r="E37" s="109"/>
      <c r="F37" s="109"/>
      <c r="G37" s="109"/>
      <c r="H37" s="109"/>
      <c r="I37" s="109"/>
      <c r="J37" s="528">
        <f t="shared" si="5"/>
        <v>0</v>
      </c>
      <c r="K37" s="528">
        <f t="shared" si="6"/>
        <v>9094459</v>
      </c>
      <c r="L37" s="530">
        <f t="shared" si="7"/>
        <v>0</v>
      </c>
    </row>
    <row r="38" spans="1:12" ht="12.75" customHeight="1">
      <c r="A38" s="128" t="s">
        <v>201</v>
      </c>
      <c r="B38" s="73"/>
      <c r="C38" s="129"/>
      <c r="D38" s="109"/>
      <c r="E38" s="109"/>
      <c r="F38" s="109"/>
      <c r="G38" s="109"/>
      <c r="H38" s="109"/>
      <c r="I38" s="109"/>
      <c r="J38" s="528">
        <f>SUM(E38:I38)</f>
        <v>0</v>
      </c>
      <c r="K38" s="528">
        <f>IF(D38=0,C38+J38,D38+J38)</f>
        <v>0</v>
      </c>
      <c r="L38" s="530"/>
    </row>
    <row r="39" spans="1:12" ht="12.75" customHeight="1">
      <c r="A39" s="128" t="s">
        <v>1578</v>
      </c>
      <c r="B39" s="73"/>
      <c r="C39" s="129">
        <v>8726211</v>
      </c>
      <c r="D39" s="109"/>
      <c r="E39" s="109"/>
      <c r="F39" s="109"/>
      <c r="G39" s="109"/>
      <c r="H39" s="109"/>
      <c r="I39" s="109"/>
      <c r="J39" s="528">
        <f t="shared" si="5"/>
        <v>0</v>
      </c>
      <c r="K39" s="528">
        <f t="shared" si="6"/>
        <v>8726211</v>
      </c>
      <c r="L39" s="530">
        <f t="shared" si="7"/>
        <v>0</v>
      </c>
    </row>
    <row r="40" spans="1:12" ht="12.75" customHeight="1">
      <c r="A40" s="128" t="s">
        <v>1579</v>
      </c>
      <c r="B40" s="73"/>
      <c r="C40" s="129"/>
      <c r="D40" s="109"/>
      <c r="E40" s="109"/>
      <c r="F40" s="109"/>
      <c r="G40" s="109"/>
      <c r="H40" s="109"/>
      <c r="I40" s="109"/>
      <c r="J40" s="528">
        <f t="shared" si="5"/>
        <v>0</v>
      </c>
      <c r="K40" s="528">
        <f t="shared" si="6"/>
        <v>0</v>
      </c>
      <c r="L40" s="530" t="str">
        <f t="shared" si="7"/>
        <v/>
      </c>
    </row>
    <row r="41" spans="1:12" ht="12.75" customHeight="1">
      <c r="A41" s="128" t="s">
        <v>1580</v>
      </c>
      <c r="B41" s="73"/>
      <c r="C41" s="129">
        <v>1803119</v>
      </c>
      <c r="D41" s="109"/>
      <c r="E41" s="109"/>
      <c r="F41" s="109"/>
      <c r="G41" s="109"/>
      <c r="H41" s="109"/>
      <c r="I41" s="109"/>
      <c r="J41" s="528">
        <f>SUM(E41:I41)</f>
        <v>0</v>
      </c>
      <c r="K41" s="528">
        <f>IF(D41=0,C41+J41,D41+J41)</f>
        <v>1803119</v>
      </c>
      <c r="L41" s="530"/>
    </row>
    <row r="42" spans="1:12" ht="12.75" customHeight="1">
      <c r="A42" s="128" t="s">
        <v>1351</v>
      </c>
      <c r="B42" s="73"/>
      <c r="C42" s="129">
        <v>17401113</v>
      </c>
      <c r="D42" s="109"/>
      <c r="E42" s="109"/>
      <c r="F42" s="109"/>
      <c r="G42" s="109"/>
      <c r="H42" s="109"/>
      <c r="I42" s="109"/>
      <c r="J42" s="528">
        <f>SUM(E42:I42)</f>
        <v>0</v>
      </c>
      <c r="K42" s="528">
        <f>IF(D42=0,C42+J42,D42+J42)</f>
        <v>17401113</v>
      </c>
      <c r="L42" s="530"/>
    </row>
    <row r="43" spans="1:12" ht="12.75" customHeight="1">
      <c r="A43" s="128" t="s">
        <v>1317</v>
      </c>
      <c r="B43" s="73"/>
      <c r="C43" s="129">
        <v>6856050</v>
      </c>
      <c r="D43" s="109"/>
      <c r="E43" s="109"/>
      <c r="F43" s="109"/>
      <c r="G43" s="109"/>
      <c r="H43" s="109"/>
      <c r="I43" s="109"/>
      <c r="J43" s="528">
        <f t="shared" si="5"/>
        <v>0</v>
      </c>
      <c r="K43" s="528">
        <f t="shared" si="6"/>
        <v>6856050</v>
      </c>
      <c r="L43" s="530">
        <f t="shared" si="7"/>
        <v>0</v>
      </c>
    </row>
    <row r="44" spans="1:12" ht="12.75" customHeight="1">
      <c r="A44" s="128" t="s">
        <v>1316</v>
      </c>
      <c r="B44" s="73"/>
      <c r="C44" s="129"/>
      <c r="D44" s="109"/>
      <c r="E44" s="109"/>
      <c r="F44" s="109"/>
      <c r="G44" s="109"/>
      <c r="H44" s="109"/>
      <c r="I44" s="109"/>
      <c r="J44" s="528">
        <f t="shared" si="5"/>
        <v>0</v>
      </c>
      <c r="K44" s="528">
        <f t="shared" si="6"/>
        <v>0</v>
      </c>
      <c r="L44" s="530" t="str">
        <f t="shared" si="7"/>
        <v/>
      </c>
    </row>
    <row r="45" spans="1:12" ht="12.75" customHeight="1">
      <c r="A45" s="128" t="s">
        <v>1318</v>
      </c>
      <c r="B45" s="73">
        <v>5</v>
      </c>
      <c r="C45" s="129"/>
      <c r="D45" s="109"/>
      <c r="E45" s="109"/>
      <c r="F45" s="109"/>
      <c r="G45" s="109"/>
      <c r="H45" s="109"/>
      <c r="I45" s="109"/>
      <c r="J45" s="528">
        <f t="shared" si="5"/>
        <v>0</v>
      </c>
      <c r="K45" s="528">
        <f t="shared" si="6"/>
        <v>0</v>
      </c>
      <c r="L45" s="530" t="str">
        <f t="shared" si="7"/>
        <v/>
      </c>
    </row>
    <row r="46" spans="1:12" ht="12.75" customHeight="1">
      <c r="A46" s="138" t="s">
        <v>205</v>
      </c>
      <c r="B46" s="73"/>
      <c r="C46" s="304">
        <f t="shared" ref="C46:K46" si="8">SUM(C34:C45)</f>
        <v>203279766</v>
      </c>
      <c r="D46" s="150">
        <f t="shared" si="8"/>
        <v>0</v>
      </c>
      <c r="E46" s="150">
        <f t="shared" si="8"/>
        <v>0</v>
      </c>
      <c r="F46" s="150">
        <f t="shared" si="8"/>
        <v>0</v>
      </c>
      <c r="G46" s="150">
        <f t="shared" si="8"/>
        <v>0</v>
      </c>
      <c r="H46" s="150">
        <f t="shared" si="8"/>
        <v>0</v>
      </c>
      <c r="I46" s="150">
        <f t="shared" si="8"/>
        <v>0</v>
      </c>
      <c r="J46" s="150">
        <f t="shared" si="8"/>
        <v>0</v>
      </c>
      <c r="K46" s="151">
        <f t="shared" si="8"/>
        <v>203279766</v>
      </c>
      <c r="L46" s="532">
        <f t="shared" si="7"/>
        <v>0</v>
      </c>
    </row>
    <row r="47" spans="1:12" ht="12.75" customHeight="1">
      <c r="A47" s="857" t="str">
        <f>$A$15</f>
        <v>% increase</v>
      </c>
      <c r="B47" s="73"/>
      <c r="C47" s="537"/>
      <c r="D47" s="237"/>
      <c r="E47" s="237"/>
      <c r="F47" s="237"/>
      <c r="G47" s="237"/>
      <c r="H47" s="237"/>
      <c r="I47" s="237"/>
      <c r="J47" s="237"/>
      <c r="K47" s="538"/>
      <c r="L47" s="532"/>
    </row>
    <row r="48" spans="1:12" ht="12.75" customHeight="1">
      <c r="A48" s="162" t="s">
        <v>206</v>
      </c>
      <c r="B48" s="79"/>
      <c r="C48" s="80">
        <f t="shared" ref="C48:K48" si="9">C14+C30+C46</f>
        <v>230178655</v>
      </c>
      <c r="D48" s="81">
        <f t="shared" si="9"/>
        <v>0</v>
      </c>
      <c r="E48" s="81">
        <f t="shared" si="9"/>
        <v>0</v>
      </c>
      <c r="F48" s="81">
        <f t="shared" si="9"/>
        <v>0</v>
      </c>
      <c r="G48" s="81">
        <f t="shared" si="9"/>
        <v>0</v>
      </c>
      <c r="H48" s="81">
        <f t="shared" si="9"/>
        <v>0</v>
      </c>
      <c r="I48" s="81">
        <f t="shared" si="9"/>
        <v>0</v>
      </c>
      <c r="J48" s="81">
        <f t="shared" si="9"/>
        <v>0</v>
      </c>
      <c r="K48" s="539">
        <f t="shared" si="9"/>
        <v>230178655</v>
      </c>
      <c r="L48" s="532">
        <f>IF(K48=0,"",(K48/C48)-1)</f>
        <v>0</v>
      </c>
    </row>
    <row r="49" spans="1:12" ht="14.25" customHeight="1">
      <c r="A49" s="138"/>
      <c r="B49" s="73"/>
      <c r="C49" s="139"/>
      <c r="D49" s="140"/>
      <c r="E49" s="140"/>
      <c r="F49" s="140"/>
      <c r="G49" s="140"/>
      <c r="H49" s="140"/>
      <c r="I49" s="140"/>
      <c r="J49" s="536"/>
      <c r="K49" s="536"/>
      <c r="L49" s="532"/>
    </row>
    <row r="50" spans="1:12" ht="5.25" customHeight="1">
      <c r="A50" s="138"/>
      <c r="B50" s="73"/>
      <c r="C50" s="139"/>
      <c r="D50" s="140"/>
      <c r="E50" s="140"/>
      <c r="F50" s="140"/>
      <c r="G50" s="140"/>
      <c r="H50" s="140"/>
      <c r="I50" s="140"/>
      <c r="J50" s="536"/>
      <c r="K50" s="536"/>
      <c r="L50" s="532"/>
    </row>
    <row r="51" spans="1:12" ht="12.75" customHeight="1">
      <c r="A51" s="125" t="s">
        <v>207</v>
      </c>
      <c r="B51" s="73"/>
      <c r="C51" s="74"/>
      <c r="D51" s="75"/>
      <c r="E51" s="75"/>
      <c r="F51" s="75"/>
      <c r="G51" s="75"/>
      <c r="H51" s="75"/>
      <c r="I51" s="75"/>
      <c r="J51" s="528"/>
      <c r="K51" s="528"/>
      <c r="L51" s="530"/>
    </row>
    <row r="52" spans="1:12" ht="12.75" customHeight="1">
      <c r="A52" s="128" t="s">
        <v>204</v>
      </c>
      <c r="B52" s="73"/>
      <c r="C52" s="129"/>
      <c r="D52" s="109"/>
      <c r="E52" s="109"/>
      <c r="F52" s="109"/>
      <c r="G52" s="109"/>
      <c r="H52" s="109"/>
      <c r="I52" s="1285">
        <v>350000</v>
      </c>
      <c r="J52" s="528">
        <f t="shared" ref="J52:J58" si="10">SUM(E52:I52)</f>
        <v>350000</v>
      </c>
      <c r="K52" s="528">
        <f t="shared" ref="K52:K64" si="11">IF(D52=0,C52+J52,D52+J52)</f>
        <v>350000</v>
      </c>
      <c r="L52" s="530" t="e">
        <f>IF(K52=0,"",(K52/C52)-1)</f>
        <v>#DIV/0!</v>
      </c>
    </row>
    <row r="53" spans="1:12" ht="12.75" customHeight="1">
      <c r="A53" s="128" t="s">
        <v>1577</v>
      </c>
      <c r="B53" s="73"/>
      <c r="C53" s="129"/>
      <c r="D53" s="109"/>
      <c r="E53" s="109"/>
      <c r="F53" s="109"/>
      <c r="G53" s="109"/>
      <c r="H53" s="109"/>
      <c r="I53" s="109"/>
      <c r="J53" s="528">
        <f t="shared" si="10"/>
        <v>0</v>
      </c>
      <c r="K53" s="528">
        <f t="shared" si="11"/>
        <v>0</v>
      </c>
      <c r="L53" s="530" t="str">
        <f>IF(K53=0,"",(K53/C53)-1)</f>
        <v/>
      </c>
    </row>
    <row r="54" spans="1:12" ht="12.75" customHeight="1">
      <c r="A54" s="128" t="s">
        <v>197</v>
      </c>
      <c r="B54" s="73"/>
      <c r="C54" s="129"/>
      <c r="D54" s="109"/>
      <c r="E54" s="109"/>
      <c r="F54" s="109"/>
      <c r="G54" s="109"/>
      <c r="H54" s="109"/>
      <c r="I54" s="109"/>
      <c r="J54" s="528">
        <f t="shared" si="10"/>
        <v>0</v>
      </c>
      <c r="K54" s="528">
        <f t="shared" si="11"/>
        <v>0</v>
      </c>
      <c r="L54" s="530" t="str">
        <f>IF(K54=0,"",(K54/C54)-1)</f>
        <v/>
      </c>
    </row>
    <row r="55" spans="1:12" ht="12.75" customHeight="1">
      <c r="A55" s="128" t="s">
        <v>1315</v>
      </c>
      <c r="B55" s="73"/>
      <c r="C55" s="129"/>
      <c r="D55" s="109"/>
      <c r="E55" s="109"/>
      <c r="F55" s="109"/>
      <c r="G55" s="109"/>
      <c r="H55" s="109"/>
      <c r="I55" s="109"/>
      <c r="J55" s="528">
        <f t="shared" si="10"/>
        <v>0</v>
      </c>
      <c r="K55" s="528">
        <f>IF(D55=0,C55+J55,D55+J55)</f>
        <v>0</v>
      </c>
      <c r="L55" s="530"/>
    </row>
    <row r="56" spans="1:12" ht="12.75" customHeight="1">
      <c r="A56" s="128" t="s">
        <v>201</v>
      </c>
      <c r="B56" s="73"/>
      <c r="C56" s="129"/>
      <c r="D56" s="109"/>
      <c r="E56" s="109"/>
      <c r="F56" s="109"/>
      <c r="G56" s="109"/>
      <c r="H56" s="109"/>
      <c r="I56" s="109"/>
      <c r="J56" s="528">
        <f t="shared" si="10"/>
        <v>0</v>
      </c>
      <c r="K56" s="528">
        <f>IF(D56=0,C56+J56,D56+J56)</f>
        <v>0</v>
      </c>
      <c r="L56" s="530"/>
    </row>
    <row r="57" spans="1:12" ht="12.75" customHeight="1">
      <c r="A57" s="128" t="s">
        <v>1578</v>
      </c>
      <c r="B57" s="73"/>
      <c r="C57" s="129"/>
      <c r="D57" s="109"/>
      <c r="E57" s="109"/>
      <c r="F57" s="109"/>
      <c r="G57" s="109"/>
      <c r="H57" s="109"/>
      <c r="I57" s="109"/>
      <c r="J57" s="528">
        <f t="shared" si="10"/>
        <v>0</v>
      </c>
      <c r="K57" s="528">
        <f>IF(D57=0,C57+J57,D57+J57)</f>
        <v>0</v>
      </c>
      <c r="L57" s="530"/>
    </row>
    <row r="58" spans="1:12" ht="12.75" customHeight="1">
      <c r="A58" s="128" t="s">
        <v>1579</v>
      </c>
      <c r="B58" s="73"/>
      <c r="C58" s="129"/>
      <c r="D58" s="109"/>
      <c r="E58" s="109"/>
      <c r="F58" s="109"/>
      <c r="G58" s="109"/>
      <c r="H58" s="109"/>
      <c r="I58" s="109"/>
      <c r="J58" s="528">
        <f t="shared" si="10"/>
        <v>0</v>
      </c>
      <c r="K58" s="528">
        <f>IF(D58=0,C58+J58,D58+J58)</f>
        <v>0</v>
      </c>
      <c r="L58" s="530"/>
    </row>
    <row r="59" spans="1:12" ht="12.75" customHeight="1">
      <c r="A59" s="128" t="s">
        <v>1580</v>
      </c>
      <c r="B59" s="73"/>
      <c r="C59" s="129"/>
      <c r="D59" s="109"/>
      <c r="E59" s="529"/>
      <c r="F59" s="529"/>
      <c r="G59" s="109"/>
      <c r="H59" s="529"/>
      <c r="I59" s="109"/>
      <c r="J59" s="528">
        <f>G59+I59</f>
        <v>0</v>
      </c>
      <c r="K59" s="528">
        <f t="shared" si="11"/>
        <v>0</v>
      </c>
      <c r="L59" s="530" t="str">
        <f>IF(K59=0,"",(K59/C59)-1)</f>
        <v/>
      </c>
    </row>
    <row r="60" spans="1:12" ht="12.75" customHeight="1">
      <c r="A60" s="128" t="s">
        <v>1351</v>
      </c>
      <c r="B60" s="73"/>
      <c r="C60" s="129"/>
      <c r="D60" s="109"/>
      <c r="E60" s="529"/>
      <c r="F60" s="529"/>
      <c r="G60" s="109"/>
      <c r="H60" s="529"/>
      <c r="I60" s="109"/>
      <c r="J60" s="528">
        <f>G60+I60</f>
        <v>0</v>
      </c>
      <c r="K60" s="528">
        <f t="shared" si="11"/>
        <v>0</v>
      </c>
      <c r="L60" s="530"/>
    </row>
    <row r="61" spans="1:12" ht="12.75" customHeight="1">
      <c r="A61" s="128" t="s">
        <v>208</v>
      </c>
      <c r="B61" s="73"/>
      <c r="C61" s="129"/>
      <c r="D61" s="109"/>
      <c r="E61" s="109"/>
      <c r="F61" s="109"/>
      <c r="G61" s="109"/>
      <c r="H61" s="109"/>
      <c r="I61" s="109"/>
      <c r="J61" s="528">
        <f>SUM(E61:I61)</f>
        <v>0</v>
      </c>
      <c r="K61" s="528">
        <f t="shared" si="11"/>
        <v>0</v>
      </c>
      <c r="L61" s="530" t="str">
        <f>IF(K61=0,"",(K61/C61)-1)</f>
        <v/>
      </c>
    </row>
    <row r="62" spans="1:12" ht="12.75" customHeight="1">
      <c r="A62" s="128" t="s">
        <v>1317</v>
      </c>
      <c r="B62" s="73"/>
      <c r="C62" s="129"/>
      <c r="D62" s="109"/>
      <c r="E62" s="109"/>
      <c r="F62" s="109"/>
      <c r="G62" s="109"/>
      <c r="H62" s="109"/>
      <c r="I62" s="109"/>
      <c r="J62" s="528">
        <f>SUM(E62:I62)</f>
        <v>0</v>
      </c>
      <c r="K62" s="528">
        <f t="shared" si="11"/>
        <v>0</v>
      </c>
      <c r="L62" s="530" t="str">
        <f>IF(K62=0,"",(K62/C62)-1)</f>
        <v/>
      </c>
    </row>
    <row r="63" spans="1:12" ht="12.75" customHeight="1">
      <c r="A63" s="128" t="s">
        <v>1316</v>
      </c>
      <c r="B63" s="73"/>
      <c r="C63" s="129"/>
      <c r="D63" s="109"/>
      <c r="E63" s="109"/>
      <c r="F63" s="109"/>
      <c r="G63" s="109"/>
      <c r="H63" s="109"/>
      <c r="I63" s="109"/>
      <c r="J63" s="528">
        <f>SUM(E63:I63)</f>
        <v>0</v>
      </c>
      <c r="K63" s="528">
        <f>IF(D63=0,C63+J63,D63+J63)</f>
        <v>0</v>
      </c>
      <c r="L63" s="530"/>
    </row>
    <row r="64" spans="1:12" ht="12.75" customHeight="1">
      <c r="A64" s="128" t="s">
        <v>1318</v>
      </c>
      <c r="B64" s="136">
        <v>5</v>
      </c>
      <c r="C64" s="129"/>
      <c r="D64" s="109"/>
      <c r="E64" s="109"/>
      <c r="F64" s="109"/>
      <c r="G64" s="109"/>
      <c r="H64" s="109"/>
      <c r="I64" s="109"/>
      <c r="J64" s="528">
        <f>SUM(E64:I64)</f>
        <v>0</v>
      </c>
      <c r="K64" s="528">
        <f t="shared" si="11"/>
        <v>0</v>
      </c>
      <c r="L64" s="530" t="str">
        <f>IF(K64=0,"",(K64/C64)-1)</f>
        <v/>
      </c>
    </row>
    <row r="65" spans="1:12" ht="12.75" customHeight="1">
      <c r="A65" s="138" t="s">
        <v>209</v>
      </c>
      <c r="B65" s="73"/>
      <c r="C65" s="304">
        <f t="shared" ref="C65:K65" si="12">SUM(C52:C64)</f>
        <v>0</v>
      </c>
      <c r="D65" s="150">
        <f t="shared" si="12"/>
        <v>0</v>
      </c>
      <c r="E65" s="150">
        <f t="shared" si="12"/>
        <v>0</v>
      </c>
      <c r="F65" s="150">
        <f t="shared" si="12"/>
        <v>0</v>
      </c>
      <c r="G65" s="150">
        <f t="shared" si="12"/>
        <v>0</v>
      </c>
      <c r="H65" s="150">
        <f t="shared" si="12"/>
        <v>0</v>
      </c>
      <c r="I65" s="150">
        <f t="shared" si="12"/>
        <v>350000</v>
      </c>
      <c r="J65" s="150">
        <f t="shared" si="12"/>
        <v>350000</v>
      </c>
      <c r="K65" s="151">
        <f t="shared" si="12"/>
        <v>350000</v>
      </c>
      <c r="L65" s="532" t="e">
        <f>IF(K65=0,"",(K65/C65)-1)</f>
        <v>#DIV/0!</v>
      </c>
    </row>
    <row r="66" spans="1:12" ht="12.75" customHeight="1">
      <c r="A66" s="857" t="str">
        <f>$A$15</f>
        <v>% increase</v>
      </c>
      <c r="B66" s="73"/>
      <c r="C66" s="139"/>
      <c r="D66" s="140"/>
      <c r="E66" s="140"/>
      <c r="F66" s="140"/>
      <c r="G66" s="140"/>
      <c r="H66" s="140"/>
      <c r="I66" s="140"/>
      <c r="J66" s="536"/>
      <c r="K66" s="536"/>
      <c r="L66" s="532"/>
    </row>
    <row r="67" spans="1:12" ht="12.75" customHeight="1">
      <c r="A67" s="125" t="s">
        <v>210</v>
      </c>
      <c r="B67" s="73"/>
      <c r="C67" s="74"/>
      <c r="D67" s="75"/>
      <c r="E67" s="75"/>
      <c r="F67" s="75"/>
      <c r="G67" s="75"/>
      <c r="H67" s="75"/>
      <c r="I67" s="75"/>
      <c r="J67" s="528"/>
      <c r="K67" s="528"/>
      <c r="L67" s="530"/>
    </row>
    <row r="68" spans="1:12" ht="12.75" customHeight="1">
      <c r="A68" s="609" t="s">
        <v>204</v>
      </c>
      <c r="B68" s="73"/>
      <c r="C68" s="129"/>
      <c r="D68" s="109"/>
      <c r="E68" s="109"/>
      <c r="F68" s="109"/>
      <c r="G68" s="109"/>
      <c r="H68" s="109"/>
      <c r="I68" s="1286">
        <v>913786</v>
      </c>
      <c r="J68" s="528">
        <f t="shared" ref="J68:J79" si="13">SUM(E68:I68)</f>
        <v>913786</v>
      </c>
      <c r="K68" s="528">
        <f t="shared" ref="K68:K79" si="14">IF(D68=0,C68+J68,D68+J68)</f>
        <v>913786</v>
      </c>
      <c r="L68" s="530" t="e">
        <f t="shared" ref="L68:L80" si="15">IF(K68=0,"",(K68/C68)-1)</f>
        <v>#DIV/0!</v>
      </c>
    </row>
    <row r="69" spans="1:12" ht="12.75" customHeight="1">
      <c r="A69" s="609" t="s">
        <v>1577</v>
      </c>
      <c r="B69" s="73"/>
      <c r="C69" s="129"/>
      <c r="D69" s="109"/>
      <c r="E69" s="109"/>
      <c r="F69" s="109"/>
      <c r="G69" s="109"/>
      <c r="H69" s="109"/>
      <c r="I69" s="109"/>
      <c r="J69" s="528">
        <f t="shared" si="13"/>
        <v>0</v>
      </c>
      <c r="K69" s="528">
        <f t="shared" si="14"/>
        <v>0</v>
      </c>
      <c r="L69" s="530" t="str">
        <f t="shared" si="15"/>
        <v/>
      </c>
    </row>
    <row r="70" spans="1:12" ht="12.75" customHeight="1">
      <c r="A70" s="609" t="s">
        <v>197</v>
      </c>
      <c r="B70" s="73"/>
      <c r="C70" s="129"/>
      <c r="D70" s="109"/>
      <c r="E70" s="109"/>
      <c r="F70" s="109"/>
      <c r="G70" s="109"/>
      <c r="H70" s="109"/>
      <c r="I70" s="109"/>
      <c r="J70" s="528">
        <f t="shared" si="13"/>
        <v>0</v>
      </c>
      <c r="K70" s="528">
        <f t="shared" si="14"/>
        <v>0</v>
      </c>
      <c r="L70" s="530" t="str">
        <f t="shared" si="15"/>
        <v/>
      </c>
    </row>
    <row r="71" spans="1:12" ht="12.75" customHeight="1">
      <c r="A71" s="609" t="s">
        <v>1315</v>
      </c>
      <c r="B71" s="73"/>
      <c r="C71" s="129"/>
      <c r="D71" s="109"/>
      <c r="E71" s="109"/>
      <c r="F71" s="109"/>
      <c r="G71" s="109"/>
      <c r="H71" s="109"/>
      <c r="I71" s="109"/>
      <c r="J71" s="528">
        <f>SUM(E71:I71)</f>
        <v>0</v>
      </c>
      <c r="K71" s="528">
        <f>IF(D71=0,C71+J71,D71+J71)</f>
        <v>0</v>
      </c>
      <c r="L71" s="530"/>
    </row>
    <row r="72" spans="1:12" ht="12.75" customHeight="1">
      <c r="A72" s="609" t="s">
        <v>201</v>
      </c>
      <c r="B72" s="73"/>
      <c r="C72" s="129"/>
      <c r="D72" s="109"/>
      <c r="E72" s="109"/>
      <c r="F72" s="109"/>
      <c r="G72" s="109"/>
      <c r="H72" s="109"/>
      <c r="I72" s="109"/>
      <c r="J72" s="528">
        <f>SUM(E72:I72)</f>
        <v>0</v>
      </c>
      <c r="K72" s="528">
        <f>IF(D72=0,C72+J72,D72+J72)</f>
        <v>0</v>
      </c>
      <c r="L72" s="530"/>
    </row>
    <row r="73" spans="1:12" ht="12.75" customHeight="1">
      <c r="A73" s="609" t="s">
        <v>1578</v>
      </c>
      <c r="B73" s="73"/>
      <c r="C73" s="129"/>
      <c r="D73" s="109"/>
      <c r="E73" s="109"/>
      <c r="F73" s="109"/>
      <c r="G73" s="109"/>
      <c r="H73" s="109"/>
      <c r="I73" s="109"/>
      <c r="J73" s="528">
        <f>SUM(E73:I73)</f>
        <v>0</v>
      </c>
      <c r="K73" s="528">
        <f>IF(D73=0,C73+J73,D73+J73)</f>
        <v>0</v>
      </c>
      <c r="L73" s="530"/>
    </row>
    <row r="74" spans="1:12" ht="12.75" customHeight="1">
      <c r="A74" s="609" t="s">
        <v>1579</v>
      </c>
      <c r="B74" s="73"/>
      <c r="C74" s="129"/>
      <c r="D74" s="109"/>
      <c r="E74" s="109"/>
      <c r="F74" s="109"/>
      <c r="G74" s="109"/>
      <c r="H74" s="109"/>
      <c r="I74" s="109"/>
      <c r="J74" s="528">
        <f>SUM(E74:I74)</f>
        <v>0</v>
      </c>
      <c r="K74" s="528">
        <f>IF(D74=0,C74+J74,D74+J74)</f>
        <v>0</v>
      </c>
      <c r="L74" s="530"/>
    </row>
    <row r="75" spans="1:12" ht="12.75" customHeight="1">
      <c r="A75" s="609" t="s">
        <v>1580</v>
      </c>
      <c r="B75" s="73"/>
      <c r="C75" s="129"/>
      <c r="D75" s="109"/>
      <c r="E75" s="109"/>
      <c r="F75" s="109"/>
      <c r="G75" s="109"/>
      <c r="H75" s="109"/>
      <c r="I75" s="109"/>
      <c r="J75" s="528">
        <f t="shared" si="13"/>
        <v>0</v>
      </c>
      <c r="K75" s="528">
        <f t="shared" si="14"/>
        <v>0</v>
      </c>
      <c r="L75" s="530" t="str">
        <f t="shared" si="15"/>
        <v/>
      </c>
    </row>
    <row r="76" spans="1:12" ht="12.75" customHeight="1">
      <c r="A76" s="609" t="s">
        <v>1351</v>
      </c>
      <c r="B76" s="73"/>
      <c r="C76" s="129"/>
      <c r="D76" s="109"/>
      <c r="E76" s="109"/>
      <c r="F76" s="109"/>
      <c r="G76" s="109"/>
      <c r="H76" s="109"/>
      <c r="I76" s="109"/>
      <c r="J76" s="528">
        <f>SUM(E76:I76)</f>
        <v>0</v>
      </c>
      <c r="K76" s="528">
        <f>IF(D76=0,C76+J76,D76+J76)</f>
        <v>0</v>
      </c>
      <c r="L76" s="530"/>
    </row>
    <row r="77" spans="1:12" ht="12.75" customHeight="1">
      <c r="A77" s="609" t="s">
        <v>1317</v>
      </c>
      <c r="B77" s="73"/>
      <c r="C77" s="129"/>
      <c r="D77" s="109"/>
      <c r="E77" s="109"/>
      <c r="F77" s="109"/>
      <c r="G77" s="109"/>
      <c r="H77" s="109"/>
      <c r="I77" s="109"/>
      <c r="J77" s="528">
        <f t="shared" si="13"/>
        <v>0</v>
      </c>
      <c r="K77" s="528">
        <f t="shared" si="14"/>
        <v>0</v>
      </c>
      <c r="L77" s="530" t="str">
        <f t="shared" si="15"/>
        <v/>
      </c>
    </row>
    <row r="78" spans="1:12" ht="12.75" customHeight="1">
      <c r="A78" s="609" t="s">
        <v>1316</v>
      </c>
      <c r="B78" s="73"/>
      <c r="C78" s="129"/>
      <c r="D78" s="109"/>
      <c r="E78" s="109"/>
      <c r="F78" s="109"/>
      <c r="G78" s="109"/>
      <c r="H78" s="109"/>
      <c r="I78" s="109"/>
      <c r="J78" s="528">
        <f t="shared" si="13"/>
        <v>0</v>
      </c>
      <c r="K78" s="528">
        <f t="shared" si="14"/>
        <v>0</v>
      </c>
      <c r="L78" s="530" t="str">
        <f t="shared" si="15"/>
        <v/>
      </c>
    </row>
    <row r="79" spans="1:12" ht="12.75" customHeight="1">
      <c r="A79" s="609" t="s">
        <v>1318</v>
      </c>
      <c r="B79" s="73">
        <v>5</v>
      </c>
      <c r="C79" s="129"/>
      <c r="D79" s="109"/>
      <c r="E79" s="109"/>
      <c r="F79" s="109"/>
      <c r="G79" s="109"/>
      <c r="H79" s="109"/>
      <c r="I79" s="109"/>
      <c r="J79" s="528">
        <f t="shared" si="13"/>
        <v>0</v>
      </c>
      <c r="K79" s="528">
        <f t="shared" si="14"/>
        <v>0</v>
      </c>
      <c r="L79" s="530" t="str">
        <f t="shared" si="15"/>
        <v/>
      </c>
    </row>
    <row r="80" spans="1:12" ht="12.75" customHeight="1">
      <c r="A80" s="138" t="s">
        <v>211</v>
      </c>
      <c r="B80" s="73"/>
      <c r="C80" s="304">
        <f t="shared" ref="C80:K80" si="16">SUM(C68:C79)</f>
        <v>0</v>
      </c>
      <c r="D80" s="150">
        <f t="shared" si="16"/>
        <v>0</v>
      </c>
      <c r="E80" s="150">
        <f t="shared" si="16"/>
        <v>0</v>
      </c>
      <c r="F80" s="150">
        <f t="shared" si="16"/>
        <v>0</v>
      </c>
      <c r="G80" s="150">
        <f t="shared" si="16"/>
        <v>0</v>
      </c>
      <c r="H80" s="150">
        <f t="shared" si="16"/>
        <v>0</v>
      </c>
      <c r="I80" s="150">
        <f t="shared" si="16"/>
        <v>913786</v>
      </c>
      <c r="J80" s="150">
        <f t="shared" si="16"/>
        <v>913786</v>
      </c>
      <c r="K80" s="151">
        <f t="shared" si="16"/>
        <v>913786</v>
      </c>
      <c r="L80" s="532" t="e">
        <f t="shared" si="15"/>
        <v>#DIV/0!</v>
      </c>
    </row>
    <row r="81" spans="1:12" ht="12.75" customHeight="1">
      <c r="A81" s="857" t="str">
        <f>$A$15</f>
        <v>% increase</v>
      </c>
      <c r="B81" s="73"/>
      <c r="C81" s="139"/>
      <c r="D81" s="140"/>
      <c r="E81" s="140"/>
      <c r="F81" s="140"/>
      <c r="G81" s="140"/>
      <c r="H81" s="140"/>
      <c r="I81" s="140"/>
      <c r="J81" s="536"/>
      <c r="K81" s="536"/>
      <c r="L81" s="532"/>
    </row>
    <row r="82" spans="1:12" ht="12.75" customHeight="1">
      <c r="A82" s="125" t="s">
        <v>212</v>
      </c>
      <c r="B82" s="73"/>
      <c r="C82" s="74"/>
      <c r="D82" s="75"/>
      <c r="E82" s="75"/>
      <c r="F82" s="75"/>
      <c r="G82" s="75"/>
      <c r="H82" s="75"/>
      <c r="I82" s="75"/>
      <c r="J82" s="528"/>
      <c r="K82" s="528"/>
      <c r="L82" s="530"/>
    </row>
    <row r="83" spans="1:12" ht="12.75" customHeight="1">
      <c r="A83" s="609" t="s">
        <v>204</v>
      </c>
      <c r="B83" s="73"/>
      <c r="C83" s="129"/>
      <c r="D83" s="109"/>
      <c r="E83" s="109"/>
      <c r="F83" s="109"/>
      <c r="G83" s="109"/>
      <c r="H83" s="109"/>
      <c r="I83" s="1287">
        <v>2102092</v>
      </c>
      <c r="J83" s="528">
        <f t="shared" ref="J83:J94" si="17">SUM(E83:I83)</f>
        <v>2102092</v>
      </c>
      <c r="K83" s="528">
        <f t="shared" ref="K83:K94" si="18">IF(D83=0,C83+J83,D83+J83)</f>
        <v>2102092</v>
      </c>
      <c r="L83" s="530" t="e">
        <f t="shared" ref="L83:L95" si="19">IF(K83=0,"",(K83/C83)-1)</f>
        <v>#DIV/0!</v>
      </c>
    </row>
    <row r="84" spans="1:12" ht="12.75" customHeight="1">
      <c r="A84" s="609" t="s">
        <v>1577</v>
      </c>
      <c r="B84" s="73"/>
      <c r="C84" s="129"/>
      <c r="D84" s="109"/>
      <c r="E84" s="109"/>
      <c r="F84" s="109"/>
      <c r="G84" s="109"/>
      <c r="H84" s="109"/>
      <c r="I84" s="1287"/>
      <c r="J84" s="528">
        <f t="shared" si="17"/>
        <v>0</v>
      </c>
      <c r="K84" s="528">
        <f t="shared" si="18"/>
        <v>0</v>
      </c>
      <c r="L84" s="530" t="str">
        <f t="shared" si="19"/>
        <v/>
      </c>
    </row>
    <row r="85" spans="1:12" ht="12.75" customHeight="1">
      <c r="A85" s="609" t="s">
        <v>197</v>
      </c>
      <c r="B85" s="73"/>
      <c r="C85" s="129"/>
      <c r="D85" s="109"/>
      <c r="E85" s="109"/>
      <c r="F85" s="109"/>
      <c r="G85" s="109"/>
      <c r="H85" s="109"/>
      <c r="I85" s="1287"/>
      <c r="J85" s="528">
        <f t="shared" si="17"/>
        <v>0</v>
      </c>
      <c r="K85" s="528">
        <f t="shared" si="18"/>
        <v>0</v>
      </c>
      <c r="L85" s="530" t="str">
        <f t="shared" si="19"/>
        <v/>
      </c>
    </row>
    <row r="86" spans="1:12" ht="12.75" customHeight="1">
      <c r="A86" s="609" t="s">
        <v>1315</v>
      </c>
      <c r="B86" s="73"/>
      <c r="C86" s="129"/>
      <c r="D86" s="109"/>
      <c r="E86" s="109"/>
      <c r="F86" s="109"/>
      <c r="G86" s="109"/>
      <c r="H86" s="109"/>
      <c r="I86" s="1287"/>
      <c r="J86" s="528">
        <f t="shared" si="17"/>
        <v>0</v>
      </c>
      <c r="K86" s="528">
        <f t="shared" si="18"/>
        <v>0</v>
      </c>
      <c r="L86" s="530" t="str">
        <f t="shared" si="19"/>
        <v/>
      </c>
    </row>
    <row r="87" spans="1:12" ht="12.75" customHeight="1">
      <c r="A87" s="609" t="s">
        <v>201</v>
      </c>
      <c r="B87" s="73"/>
      <c r="C87" s="129"/>
      <c r="D87" s="109"/>
      <c r="E87" s="109"/>
      <c r="F87" s="109"/>
      <c r="G87" s="109"/>
      <c r="H87" s="109"/>
      <c r="I87" s="1287"/>
      <c r="J87" s="528">
        <f>SUM(E87:I87)</f>
        <v>0</v>
      </c>
      <c r="K87" s="528">
        <f>IF(D87=0,C87+J87,D87+J87)</f>
        <v>0</v>
      </c>
      <c r="L87" s="530"/>
    </row>
    <row r="88" spans="1:12" ht="12.75" customHeight="1">
      <c r="A88" s="609" t="s">
        <v>1578</v>
      </c>
      <c r="B88" s="73"/>
      <c r="C88" s="129"/>
      <c r="D88" s="109"/>
      <c r="E88" s="109"/>
      <c r="F88" s="109"/>
      <c r="G88" s="109"/>
      <c r="H88" s="109"/>
      <c r="I88" s="1287"/>
      <c r="J88" s="528">
        <f t="shared" si="17"/>
        <v>0</v>
      </c>
      <c r="K88" s="528">
        <f t="shared" si="18"/>
        <v>0</v>
      </c>
      <c r="L88" s="530" t="str">
        <f t="shared" si="19"/>
        <v/>
      </c>
    </row>
    <row r="89" spans="1:12" ht="12.75" customHeight="1">
      <c r="A89" s="609" t="s">
        <v>1579</v>
      </c>
      <c r="B89" s="73"/>
      <c r="C89" s="129"/>
      <c r="D89" s="109"/>
      <c r="E89" s="109"/>
      <c r="F89" s="109"/>
      <c r="G89" s="109"/>
      <c r="H89" s="109"/>
      <c r="I89" s="1287">
        <v>25000</v>
      </c>
      <c r="J89" s="528">
        <f t="shared" si="17"/>
        <v>25000</v>
      </c>
      <c r="K89" s="528">
        <f t="shared" si="18"/>
        <v>25000</v>
      </c>
      <c r="L89" s="530" t="e">
        <f t="shared" si="19"/>
        <v>#DIV/0!</v>
      </c>
    </row>
    <row r="90" spans="1:12" ht="12.75" customHeight="1">
      <c r="A90" s="609" t="s">
        <v>1580</v>
      </c>
      <c r="B90" s="73"/>
      <c r="C90" s="129"/>
      <c r="D90" s="109"/>
      <c r="E90" s="109"/>
      <c r="F90" s="109"/>
      <c r="G90" s="109"/>
      <c r="H90" s="109"/>
      <c r="I90" s="1287"/>
      <c r="J90" s="528">
        <f>SUM(E90:I90)</f>
        <v>0</v>
      </c>
      <c r="K90" s="528">
        <f>IF(D90=0,C90+J90,D90+J90)</f>
        <v>0</v>
      </c>
      <c r="L90" s="530"/>
    </row>
    <row r="91" spans="1:12" ht="12.75" customHeight="1">
      <c r="A91" s="609" t="s">
        <v>1351</v>
      </c>
      <c r="B91" s="73"/>
      <c r="C91" s="129"/>
      <c r="D91" s="109"/>
      <c r="E91" s="109"/>
      <c r="F91" s="109"/>
      <c r="G91" s="109"/>
      <c r="H91" s="109"/>
      <c r="I91" s="109"/>
      <c r="J91" s="528">
        <f>SUM(E91:I91)</f>
        <v>0</v>
      </c>
      <c r="K91" s="528">
        <f>IF(D91=0,C91+J91,D91+J91)</f>
        <v>0</v>
      </c>
      <c r="L91" s="530"/>
    </row>
    <row r="92" spans="1:12" ht="12.75" customHeight="1">
      <c r="A92" s="609" t="s">
        <v>1317</v>
      </c>
      <c r="B92" s="73"/>
      <c r="C92" s="129"/>
      <c r="D92" s="109"/>
      <c r="E92" s="109"/>
      <c r="F92" s="109"/>
      <c r="G92" s="109"/>
      <c r="H92" s="109"/>
      <c r="I92" s="109"/>
      <c r="J92" s="528">
        <f t="shared" si="17"/>
        <v>0</v>
      </c>
      <c r="K92" s="528">
        <f t="shared" si="18"/>
        <v>0</v>
      </c>
      <c r="L92" s="530" t="str">
        <f t="shared" si="19"/>
        <v/>
      </c>
    </row>
    <row r="93" spans="1:12" ht="12.75" customHeight="1">
      <c r="A93" s="609" t="s">
        <v>1316</v>
      </c>
      <c r="B93" s="73"/>
      <c r="C93" s="129"/>
      <c r="D93" s="109"/>
      <c r="E93" s="109"/>
      <c r="F93" s="109"/>
      <c r="G93" s="109"/>
      <c r="H93" s="109"/>
      <c r="I93" s="109"/>
      <c r="J93" s="528">
        <f t="shared" si="17"/>
        <v>0</v>
      </c>
      <c r="K93" s="528">
        <f t="shared" si="18"/>
        <v>0</v>
      </c>
      <c r="L93" s="530" t="str">
        <f t="shared" si="19"/>
        <v/>
      </c>
    </row>
    <row r="94" spans="1:12" ht="12.75" customHeight="1">
      <c r="A94" s="609" t="s">
        <v>1318</v>
      </c>
      <c r="B94" s="73">
        <v>5</v>
      </c>
      <c r="C94" s="129"/>
      <c r="D94" s="109"/>
      <c r="E94" s="109"/>
      <c r="F94" s="109"/>
      <c r="G94" s="109"/>
      <c r="H94" s="109"/>
      <c r="I94" s="109"/>
      <c r="J94" s="528">
        <f t="shared" si="17"/>
        <v>0</v>
      </c>
      <c r="K94" s="528">
        <f t="shared" si="18"/>
        <v>0</v>
      </c>
      <c r="L94" s="530" t="str">
        <f t="shared" si="19"/>
        <v/>
      </c>
    </row>
    <row r="95" spans="1:12" ht="12.75" customHeight="1">
      <c r="A95" s="138" t="s">
        <v>213</v>
      </c>
      <c r="B95" s="73"/>
      <c r="C95" s="304">
        <f t="shared" ref="C95:K95" si="20">SUM(C83:C94)</f>
        <v>0</v>
      </c>
      <c r="D95" s="150">
        <f t="shared" si="20"/>
        <v>0</v>
      </c>
      <c r="E95" s="150">
        <f t="shared" si="20"/>
        <v>0</v>
      </c>
      <c r="F95" s="150">
        <f t="shared" si="20"/>
        <v>0</v>
      </c>
      <c r="G95" s="150">
        <f t="shared" si="20"/>
        <v>0</v>
      </c>
      <c r="H95" s="150">
        <f t="shared" si="20"/>
        <v>0</v>
      </c>
      <c r="I95" s="150">
        <f t="shared" si="20"/>
        <v>2127092</v>
      </c>
      <c r="J95" s="150">
        <f t="shared" si="20"/>
        <v>2127092</v>
      </c>
      <c r="K95" s="151">
        <f t="shared" si="20"/>
        <v>2127092</v>
      </c>
      <c r="L95" s="532" t="e">
        <f t="shared" si="19"/>
        <v>#DIV/0!</v>
      </c>
    </row>
    <row r="96" spans="1:12" ht="12.75" customHeight="1">
      <c r="A96" s="857" t="str">
        <f>$A$15</f>
        <v>% increase</v>
      </c>
      <c r="B96" s="153"/>
      <c r="C96" s="537"/>
      <c r="D96" s="237"/>
      <c r="E96" s="237"/>
      <c r="F96" s="237"/>
      <c r="G96" s="237"/>
      <c r="H96" s="237"/>
      <c r="I96" s="237"/>
      <c r="J96" s="237"/>
      <c r="K96" s="538"/>
      <c r="L96" s="532"/>
    </row>
    <row r="97" spans="1:15" ht="12.75" customHeight="1">
      <c r="A97" s="162" t="s">
        <v>214</v>
      </c>
      <c r="B97" s="79"/>
      <c r="C97" s="80">
        <f t="shared" ref="C97:K97" si="21">C65+C80+C95</f>
        <v>0</v>
      </c>
      <c r="D97" s="81">
        <f t="shared" si="21"/>
        <v>0</v>
      </c>
      <c r="E97" s="81">
        <f t="shared" si="21"/>
        <v>0</v>
      </c>
      <c r="F97" s="81">
        <f t="shared" si="21"/>
        <v>0</v>
      </c>
      <c r="G97" s="81">
        <f t="shared" si="21"/>
        <v>0</v>
      </c>
      <c r="H97" s="81">
        <f t="shared" si="21"/>
        <v>0</v>
      </c>
      <c r="I97" s="81">
        <f t="shared" si="21"/>
        <v>3390878</v>
      </c>
      <c r="J97" s="81">
        <f t="shared" si="21"/>
        <v>3390878</v>
      </c>
      <c r="K97" s="539">
        <f t="shared" si="21"/>
        <v>3390878</v>
      </c>
      <c r="L97" s="532" t="e">
        <f>IF(K97=0,"",(K97/C97)-1)</f>
        <v>#DIV/0!</v>
      </c>
    </row>
    <row r="98" spans="1:15" ht="5.0999999999999996" customHeight="1">
      <c r="A98" s="135"/>
      <c r="B98" s="105"/>
      <c r="C98" s="106"/>
      <c r="D98" s="500"/>
      <c r="E98" s="500"/>
      <c r="F98" s="500"/>
      <c r="G98" s="500"/>
      <c r="H98" s="500"/>
      <c r="I98" s="500"/>
      <c r="J98" s="500"/>
      <c r="K98" s="540"/>
      <c r="L98" s="532"/>
    </row>
    <row r="99" spans="1:15" ht="25.5">
      <c r="A99" s="541" t="s">
        <v>215</v>
      </c>
      <c r="B99" s="153"/>
      <c r="C99" s="537">
        <f t="shared" ref="C99:K99" si="22">C48+C97</f>
        <v>230178655</v>
      </c>
      <c r="D99" s="237">
        <f t="shared" si="22"/>
        <v>0</v>
      </c>
      <c r="E99" s="237">
        <f t="shared" si="22"/>
        <v>0</v>
      </c>
      <c r="F99" s="237">
        <f t="shared" si="22"/>
        <v>0</v>
      </c>
      <c r="G99" s="237">
        <f t="shared" si="22"/>
        <v>0</v>
      </c>
      <c r="H99" s="237">
        <f t="shared" si="22"/>
        <v>0</v>
      </c>
      <c r="I99" s="237">
        <f t="shared" si="22"/>
        <v>3390878</v>
      </c>
      <c r="J99" s="237">
        <f t="shared" si="22"/>
        <v>3390878</v>
      </c>
      <c r="K99" s="538">
        <f t="shared" si="22"/>
        <v>233569533</v>
      </c>
      <c r="L99" s="532">
        <f>IF(K99=0,"",(K99/C99)-1)</f>
        <v>1.473150496947695E-2</v>
      </c>
    </row>
    <row r="100" spans="1:15">
      <c r="A100" s="857" t="str">
        <f>$A$15</f>
        <v>% increase</v>
      </c>
      <c r="B100" s="105"/>
      <c r="C100" s="149"/>
      <c r="D100" s="150"/>
      <c r="E100" s="150"/>
      <c r="F100" s="150"/>
      <c r="G100" s="150"/>
      <c r="H100" s="150"/>
      <c r="I100" s="150"/>
      <c r="J100" s="150"/>
      <c r="K100" s="542"/>
      <c r="L100" s="532"/>
    </row>
    <row r="101" spans="1:15" ht="12.75" customHeight="1">
      <c r="A101" s="154" t="s">
        <v>216</v>
      </c>
      <c r="B101" s="155"/>
      <c r="C101" s="156">
        <f t="shared" ref="C101:K101" si="23">C30+C46+C80+C95</f>
        <v>211559961</v>
      </c>
      <c r="D101" s="116">
        <f t="shared" si="23"/>
        <v>0</v>
      </c>
      <c r="E101" s="116">
        <f t="shared" si="23"/>
        <v>0</v>
      </c>
      <c r="F101" s="116">
        <f t="shared" si="23"/>
        <v>0</v>
      </c>
      <c r="G101" s="116">
        <f t="shared" si="23"/>
        <v>0</v>
      </c>
      <c r="H101" s="116">
        <f t="shared" si="23"/>
        <v>0</v>
      </c>
      <c r="I101" s="116">
        <f t="shared" si="23"/>
        <v>3040878</v>
      </c>
      <c r="J101" s="116">
        <f t="shared" si="23"/>
        <v>3040878</v>
      </c>
      <c r="K101" s="543">
        <f t="shared" si="23"/>
        <v>214600839</v>
      </c>
      <c r="L101" s="544">
        <f>IF(K101=0,"",(K101/C101)-1)</f>
        <v>1.4373598792637221E-2</v>
      </c>
    </row>
    <row r="102" spans="1:15" ht="12.75" customHeight="1">
      <c r="A102" s="157" t="str">
        <f>head27a</f>
        <v>References</v>
      </c>
      <c r="B102" s="93"/>
      <c r="C102" s="511"/>
      <c r="D102" s="511"/>
      <c r="E102" s="511"/>
      <c r="F102" s="511"/>
      <c r="G102" s="511"/>
      <c r="H102" s="511"/>
      <c r="I102" s="511"/>
      <c r="J102" s="511"/>
      <c r="K102" s="511"/>
      <c r="L102" s="545"/>
      <c r="M102" s="48"/>
      <c r="N102" s="48"/>
      <c r="O102" s="48"/>
    </row>
    <row r="103" spans="1:15" ht="12.75" customHeight="1">
      <c r="A103" s="99" t="s">
        <v>217</v>
      </c>
      <c r="B103" s="93"/>
      <c r="C103" s="511"/>
      <c r="D103" s="511"/>
      <c r="E103" s="511"/>
      <c r="F103" s="511"/>
      <c r="G103" s="511"/>
      <c r="H103" s="511"/>
      <c r="I103" s="511"/>
      <c r="J103" s="511"/>
      <c r="K103" s="511"/>
      <c r="L103" s="545"/>
      <c r="M103" s="48"/>
      <c r="N103" s="48"/>
      <c r="O103" s="48"/>
    </row>
    <row r="104" spans="1:15" ht="12.75" customHeight="1">
      <c r="A104" s="99" t="s">
        <v>218</v>
      </c>
      <c r="B104" s="93"/>
      <c r="C104" s="511"/>
      <c r="D104" s="511"/>
      <c r="E104" s="511"/>
      <c r="F104" s="511"/>
      <c r="G104" s="511"/>
      <c r="H104" s="511"/>
      <c r="I104" s="511"/>
      <c r="J104" s="511"/>
      <c r="K104" s="511"/>
      <c r="L104" s="545"/>
      <c r="M104" s="48"/>
      <c r="N104" s="48"/>
      <c r="O104" s="48"/>
    </row>
    <row r="105" spans="1:15" ht="12.75" customHeight="1">
      <c r="A105" s="99" t="s">
        <v>219</v>
      </c>
      <c r="B105" s="93"/>
      <c r="C105" s="99"/>
      <c r="D105" s="99"/>
      <c r="E105" s="99"/>
      <c r="F105" s="99"/>
      <c r="G105" s="99"/>
      <c r="H105" s="99"/>
      <c r="I105" s="99"/>
      <c r="J105" s="99"/>
      <c r="K105" s="99"/>
      <c r="L105" s="93"/>
    </row>
    <row r="106" spans="1:15" ht="12.75" customHeight="1">
      <c r="A106" s="158" t="s">
        <v>220</v>
      </c>
      <c r="B106" s="93"/>
      <c r="C106" s="99"/>
      <c r="D106" s="99"/>
      <c r="E106" s="99"/>
      <c r="F106" s="99"/>
      <c r="G106" s="99"/>
      <c r="H106" s="99"/>
      <c r="I106" s="99"/>
      <c r="J106" s="99"/>
      <c r="K106" s="99"/>
      <c r="L106" s="93"/>
    </row>
    <row r="107" spans="1:15" ht="12.75" customHeight="1">
      <c r="A107" s="1090" t="s">
        <v>1581</v>
      </c>
      <c r="B107" s="93"/>
      <c r="C107" s="99"/>
      <c r="D107" s="99"/>
      <c r="E107" s="99"/>
      <c r="F107" s="99"/>
      <c r="G107" s="99"/>
      <c r="H107" s="99"/>
      <c r="I107" s="99"/>
      <c r="J107" s="99"/>
      <c r="K107" s="99"/>
      <c r="L107" s="93"/>
    </row>
    <row r="108" spans="1:15" ht="12.75" customHeight="1">
      <c r="A108" s="1090"/>
      <c r="B108" s="93"/>
      <c r="C108" s="99"/>
      <c r="D108" s="99"/>
      <c r="E108" s="99"/>
      <c r="F108" s="99"/>
      <c r="G108" s="99"/>
      <c r="H108" s="99"/>
      <c r="I108" s="99"/>
      <c r="J108" s="99"/>
      <c r="K108" s="99"/>
      <c r="L108" s="93"/>
    </row>
    <row r="109" spans="1:15" ht="12.75" customHeight="1">
      <c r="A109" s="157" t="s">
        <v>221</v>
      </c>
      <c r="B109" s="93"/>
      <c r="C109" s="99"/>
      <c r="D109" s="99"/>
      <c r="E109" s="99"/>
      <c r="F109" s="99"/>
      <c r="G109" s="99"/>
      <c r="H109" s="99"/>
      <c r="I109" s="99"/>
      <c r="J109" s="99"/>
      <c r="K109" s="99"/>
      <c r="L109" s="93"/>
    </row>
    <row r="110" spans="1:15" ht="12.75" customHeight="1">
      <c r="A110" s="99" t="s">
        <v>222</v>
      </c>
      <c r="B110" s="93"/>
      <c r="C110" s="99"/>
      <c r="D110" s="99"/>
      <c r="E110" s="99"/>
      <c r="F110" s="99"/>
      <c r="G110" s="99"/>
      <c r="H110" s="99"/>
      <c r="I110" s="99"/>
      <c r="J110" s="99"/>
      <c r="K110" s="99"/>
      <c r="L110" s="93"/>
    </row>
    <row r="111" spans="1:15" ht="12.75" customHeight="1">
      <c r="A111" s="1318" t="s">
        <v>1107</v>
      </c>
      <c r="B111" s="1318"/>
      <c r="C111" s="1318"/>
      <c r="D111" s="1318"/>
      <c r="E111" s="1318"/>
      <c r="F111" s="1318"/>
      <c r="G111" s="1318"/>
      <c r="H111" s="1318"/>
      <c r="I111" s="1318"/>
      <c r="J111" s="1318"/>
      <c r="K111" s="1318"/>
      <c r="L111" s="1318"/>
    </row>
    <row r="112" spans="1:15" ht="24.95" customHeight="1">
      <c r="A112" s="1318" t="s">
        <v>725</v>
      </c>
      <c r="B112" s="1318"/>
      <c r="C112" s="1318"/>
      <c r="D112" s="1318"/>
      <c r="E112" s="1318"/>
      <c r="F112" s="1318"/>
      <c r="G112" s="1318"/>
      <c r="H112" s="1318"/>
      <c r="I112" s="1318"/>
      <c r="J112" s="1318"/>
      <c r="K112" s="1318"/>
      <c r="L112" s="1318"/>
    </row>
    <row r="113" spans="1:12" ht="12.75" customHeight="1">
      <c r="A113" s="1318" t="s">
        <v>678</v>
      </c>
      <c r="B113" s="1318"/>
      <c r="C113" s="1318"/>
      <c r="D113" s="1318"/>
      <c r="E113" s="1318"/>
      <c r="F113" s="1318"/>
      <c r="G113" s="1318"/>
      <c r="H113" s="1318"/>
      <c r="I113" s="1318"/>
      <c r="J113" s="1318"/>
      <c r="K113" s="98"/>
      <c r="L113" s="546"/>
    </row>
    <row r="114" spans="1:12" ht="12.75" customHeight="1">
      <c r="A114" s="1318" t="s">
        <v>679</v>
      </c>
      <c r="B114" s="1318"/>
      <c r="C114" s="1318"/>
      <c r="D114" s="1318"/>
      <c r="E114" s="1318"/>
      <c r="F114" s="1318"/>
      <c r="G114" s="1318"/>
      <c r="H114" s="1318"/>
      <c r="I114" s="1318"/>
      <c r="J114" s="1318"/>
      <c r="K114" s="1318"/>
      <c r="L114" s="1318"/>
    </row>
    <row r="115" spans="1:12" ht="12.75" customHeight="1">
      <c r="A115" s="99" t="s">
        <v>225</v>
      </c>
      <c r="B115" s="93"/>
      <c r="C115" s="96"/>
      <c r="D115" s="96"/>
      <c r="E115" s="96"/>
      <c r="F115" s="96"/>
      <c r="G115" s="96"/>
      <c r="H115" s="96"/>
      <c r="I115" s="96"/>
      <c r="J115" s="96"/>
      <c r="K115" s="96"/>
      <c r="L115" s="547"/>
    </row>
    <row r="116" spans="1:12" ht="24.95" customHeight="1">
      <c r="A116" s="1318" t="s">
        <v>681</v>
      </c>
      <c r="B116" s="1318"/>
      <c r="C116" s="1318"/>
      <c r="D116" s="1318"/>
      <c r="E116" s="1318"/>
      <c r="F116" s="1318"/>
      <c r="G116" s="1318"/>
      <c r="H116" s="1318"/>
      <c r="I116" s="1318"/>
      <c r="J116" s="1318"/>
      <c r="K116" s="1318"/>
      <c r="L116" s="1318"/>
    </row>
    <row r="117" spans="1:12" ht="12.75" customHeight="1">
      <c r="A117" s="99" t="s">
        <v>226</v>
      </c>
      <c r="B117" s="93"/>
      <c r="C117" s="96"/>
      <c r="D117" s="96"/>
      <c r="E117" s="96"/>
      <c r="F117" s="96"/>
      <c r="G117" s="96"/>
      <c r="H117" s="96"/>
      <c r="I117" s="96"/>
      <c r="J117" s="96"/>
      <c r="K117" s="96"/>
      <c r="L117" s="547"/>
    </row>
    <row r="118" spans="1:12" ht="12.75" customHeight="1">
      <c r="A118" s="1318" t="s">
        <v>683</v>
      </c>
      <c r="B118" s="1318"/>
      <c r="C118" s="1318"/>
      <c r="D118" s="1318"/>
      <c r="E118" s="1318"/>
      <c r="F118" s="1318"/>
      <c r="G118" s="1318"/>
      <c r="H118" s="1318"/>
      <c r="I118" s="1318"/>
      <c r="J118" s="1318"/>
      <c r="K118" s="1318"/>
      <c r="L118" s="1318"/>
    </row>
    <row r="119" spans="1:12">
      <c r="B119" s="5"/>
    </row>
    <row r="120" spans="1:12">
      <c r="B120" s="5"/>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sheetData>
  <mergeCells count="9">
    <mergeCell ref="A2:A3"/>
    <mergeCell ref="B2:B3"/>
    <mergeCell ref="A116:L116"/>
    <mergeCell ref="A118:L118"/>
    <mergeCell ref="A111:L111"/>
    <mergeCell ref="A113:J113"/>
    <mergeCell ref="A114:L114"/>
    <mergeCell ref="A112:L112"/>
    <mergeCell ref="C2:K2"/>
  </mergeCells>
  <phoneticPr fontId="17"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sheetPr codeName="Sheet102" enableFormatConditionsCalculation="0">
    <tabColor indexed="42"/>
    <pageSetUpPr fitToPage="1"/>
  </sheetPr>
  <dimension ref="A1:R56"/>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K13" sqref="K13"/>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LIM333 Greater Tzaneen - Supporting Table SB12 Consolidated Adjustments Budget - monthly revenue and expenditure (municipal vote) - 26 FEBRUARY 2014</v>
      </c>
      <c r="B1" s="57"/>
      <c r="D1" s="58"/>
    </row>
    <row r="2" spans="1:18" ht="25.5">
      <c r="A2" s="1327" t="str">
        <f>desc</f>
        <v>Description</v>
      </c>
      <c r="B2" s="1322" t="str">
        <f>head27</f>
        <v>Ref</v>
      </c>
      <c r="C2" s="1319" t="str">
        <f>Head2</f>
        <v>Budget Year 2013/14</v>
      </c>
      <c r="D2" s="1320"/>
      <c r="E2" s="1320"/>
      <c r="F2" s="1320"/>
      <c r="G2" s="1320"/>
      <c r="H2" s="1320"/>
      <c r="I2" s="1320"/>
      <c r="J2" s="1320"/>
      <c r="K2" s="1320"/>
      <c r="L2" s="1320"/>
      <c r="M2" s="1320"/>
      <c r="N2" s="1321"/>
      <c r="O2" s="548"/>
      <c r="P2" s="549" t="s">
        <v>227</v>
      </c>
      <c r="Q2" s="550"/>
      <c r="R2" s="551"/>
    </row>
    <row r="3" spans="1:18"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56" t="s">
        <v>643</v>
      </c>
      <c r="B4" s="104"/>
      <c r="C4" s="831" t="str">
        <f t="shared" ref="C4:H4" si="0">Head5A</f>
        <v>Outcome</v>
      </c>
      <c r="D4" s="832" t="str">
        <f t="shared" si="0"/>
        <v>Outcome</v>
      </c>
      <c r="E4" s="832" t="str">
        <f t="shared" si="0"/>
        <v>Outcome</v>
      </c>
      <c r="F4" s="832" t="str">
        <f t="shared" si="0"/>
        <v>Outcome</v>
      </c>
      <c r="G4" s="832" t="str">
        <f t="shared" si="0"/>
        <v>Outcome</v>
      </c>
      <c r="H4" s="833" t="str">
        <f t="shared" si="0"/>
        <v>Outcome</v>
      </c>
      <c r="I4" s="831" t="str">
        <f t="shared" ref="I4:N4" si="1">Head7</f>
        <v>Adjusted Budget</v>
      </c>
      <c r="J4" s="833" t="str">
        <f t="shared" si="1"/>
        <v>Adjusted Budget</v>
      </c>
      <c r="K4" s="832" t="str">
        <f t="shared" si="1"/>
        <v>Adjusted Budget</v>
      </c>
      <c r="L4" s="832" t="str">
        <f t="shared" si="1"/>
        <v>Adjusted Budget</v>
      </c>
      <c r="M4" s="832" t="str">
        <f t="shared" si="1"/>
        <v>Adjusted Budget</v>
      </c>
      <c r="N4" s="833" t="str">
        <f t="shared" si="1"/>
        <v>Adjusted Budget</v>
      </c>
      <c r="O4" s="557"/>
      <c r="P4" s="558" t="str">
        <f>Head7</f>
        <v>Adjusted Budget</v>
      </c>
      <c r="Q4" s="559" t="s">
        <v>241</v>
      </c>
      <c r="R4" s="560" t="s">
        <v>241</v>
      </c>
    </row>
    <row r="5" spans="1:18" ht="12.75" customHeight="1">
      <c r="A5" s="527" t="str">
        <f>'B3-FinPerf V'!A6</f>
        <v>Revenue by Vote</v>
      </c>
      <c r="B5" s="128"/>
      <c r="C5" s="240"/>
      <c r="D5" s="75"/>
      <c r="E5" s="75"/>
      <c r="F5" s="75"/>
      <c r="G5" s="75"/>
      <c r="H5" s="528"/>
      <c r="I5" s="240"/>
      <c r="J5" s="75"/>
      <c r="K5" s="75"/>
      <c r="L5" s="75"/>
      <c r="M5" s="75"/>
      <c r="N5" s="528"/>
      <c r="O5" s="561"/>
      <c r="P5" s="240"/>
      <c r="Q5" s="75"/>
      <c r="R5" s="76"/>
    </row>
    <row r="6" spans="1:18" ht="12.75" customHeight="1">
      <c r="A6" s="128" t="str">
        <f>'B3-FinPerf V'!A7</f>
        <v>Vote 1 - Municipal Manager</v>
      </c>
      <c r="B6" s="128"/>
      <c r="C6" s="400"/>
      <c r="D6" s="109"/>
      <c r="E6" s="109"/>
      <c r="F6" s="109"/>
      <c r="G6" s="109"/>
      <c r="H6" s="399"/>
      <c r="I6" s="400"/>
      <c r="J6" s="109"/>
      <c r="K6" s="109"/>
      <c r="L6" s="109"/>
      <c r="M6" s="109"/>
      <c r="N6" s="528">
        <f t="shared" ref="N6:N20" si="2">P6-SUM(C6:M6)</f>
        <v>0</v>
      </c>
      <c r="O6" s="561">
        <f t="shared" ref="O6:O14" si="3">SUM(C6:N6)</f>
        <v>0</v>
      </c>
      <c r="P6" s="240">
        <f>'B3-FinPerf V'!K7</f>
        <v>0</v>
      </c>
      <c r="Q6" s="75">
        <f>'B3-FinPerf V'!L7</f>
        <v>0</v>
      </c>
      <c r="R6" s="76">
        <f>'B3-FinPerf V'!M7</f>
        <v>0</v>
      </c>
    </row>
    <row r="7" spans="1:18" ht="12.75" customHeight="1">
      <c r="A7" s="128" t="str">
        <f>'B3-FinPerf V'!A8</f>
        <v>Vote 2 - Planning &amp; Economic Development</v>
      </c>
      <c r="B7" s="128"/>
      <c r="C7" s="400">
        <v>2859355</v>
      </c>
      <c r="D7" s="109">
        <v>7275</v>
      </c>
      <c r="E7" s="109">
        <v>3018580</v>
      </c>
      <c r="F7" s="109">
        <v>19230</v>
      </c>
      <c r="G7" s="109">
        <v>4009200</v>
      </c>
      <c r="H7" s="399">
        <v>5900</v>
      </c>
      <c r="I7" s="400">
        <v>1572</v>
      </c>
      <c r="J7" s="109">
        <v>1929</v>
      </c>
      <c r="K7" s="109">
        <v>4845</v>
      </c>
      <c r="L7" s="109">
        <v>6718</v>
      </c>
      <c r="M7" s="109">
        <v>1097</v>
      </c>
      <c r="N7" s="528">
        <f t="shared" si="2"/>
        <v>19427954</v>
      </c>
      <c r="O7" s="561">
        <f t="shared" si="3"/>
        <v>29363655</v>
      </c>
      <c r="P7" s="240">
        <f>'B3-FinPerf V'!K8</f>
        <v>29363655</v>
      </c>
      <c r="Q7" s="75">
        <f>'B3-FinPerf V'!L8</f>
        <v>7038824</v>
      </c>
      <c r="R7" s="76">
        <f>'B3-FinPerf V'!M8</f>
        <v>7565226</v>
      </c>
    </row>
    <row r="8" spans="1:18" ht="12.75" customHeight="1">
      <c r="A8" s="128" t="str">
        <f>'B3-FinPerf V'!A9</f>
        <v>Vote 3 - Financial Services</v>
      </c>
      <c r="B8" s="128"/>
      <c r="C8" s="400">
        <v>98228700</v>
      </c>
      <c r="D8" s="109">
        <v>8409963</v>
      </c>
      <c r="E8" s="109">
        <v>8584405</v>
      </c>
      <c r="F8" s="109">
        <v>8737089</v>
      </c>
      <c r="G8" s="109">
        <v>8351884</v>
      </c>
      <c r="H8" s="399">
        <v>61389483</v>
      </c>
      <c r="I8" s="400">
        <v>6886802</v>
      </c>
      <c r="J8" s="109">
        <v>6329841</v>
      </c>
      <c r="K8" s="109">
        <v>50923542</v>
      </c>
      <c r="L8" s="109">
        <v>6955463</v>
      </c>
      <c r="M8" s="109">
        <v>6559402</v>
      </c>
      <c r="N8" s="528">
        <f t="shared" si="2"/>
        <v>49723318</v>
      </c>
      <c r="O8" s="561">
        <f t="shared" si="3"/>
        <v>321079892</v>
      </c>
      <c r="P8" s="240">
        <f>'B3-FinPerf V'!K9</f>
        <v>321079892</v>
      </c>
      <c r="Q8" s="75">
        <f>'B3-FinPerf V'!L9</f>
        <v>315811162</v>
      </c>
      <c r="R8" s="76">
        <f>'B3-FinPerf V'!M9</f>
        <v>373610831</v>
      </c>
    </row>
    <row r="9" spans="1:18" ht="12.75" customHeight="1">
      <c r="A9" s="128" t="str">
        <f>'B3-FinPerf V'!A10</f>
        <v>Vote 4 - Corporate Services</v>
      </c>
      <c r="B9" s="128"/>
      <c r="C9" s="400"/>
      <c r="D9" s="109"/>
      <c r="E9" s="109"/>
      <c r="F9" s="109"/>
      <c r="G9" s="109"/>
      <c r="H9" s="399"/>
      <c r="I9" s="400" t="s">
        <v>1788</v>
      </c>
      <c r="J9" s="109" t="s">
        <v>1788</v>
      </c>
      <c r="K9" s="109" t="s">
        <v>1788</v>
      </c>
      <c r="L9" s="109" t="s">
        <v>1788</v>
      </c>
      <c r="M9" s="109" t="s">
        <v>1788</v>
      </c>
      <c r="N9" s="528">
        <f t="shared" si="2"/>
        <v>1557</v>
      </c>
      <c r="O9" s="561">
        <f t="shared" si="3"/>
        <v>1557</v>
      </c>
      <c r="P9" s="240">
        <f>'B3-FinPerf V'!K10</f>
        <v>1557</v>
      </c>
      <c r="Q9" s="75">
        <f>'B3-FinPerf V'!L10</f>
        <v>1633</v>
      </c>
      <c r="R9" s="76">
        <f>'B3-FinPerf V'!M10</f>
        <v>1713</v>
      </c>
    </row>
    <row r="10" spans="1:18" ht="12.75" customHeight="1">
      <c r="A10" s="128" t="str">
        <f>'B3-FinPerf V'!A11</f>
        <v>Vote 5 - Community Services</v>
      </c>
      <c r="B10" s="128"/>
      <c r="C10" s="400">
        <v>1881257</v>
      </c>
      <c r="D10" s="109">
        <v>2754217</v>
      </c>
      <c r="E10" s="109">
        <v>2061228</v>
      </c>
      <c r="F10" s="109">
        <v>1928314</v>
      </c>
      <c r="G10" s="109">
        <v>2355641</v>
      </c>
      <c r="H10" s="399">
        <v>1997687</v>
      </c>
      <c r="I10" s="400">
        <v>1687696</v>
      </c>
      <c r="J10" s="109">
        <v>2455313</v>
      </c>
      <c r="K10" s="109">
        <v>10347818</v>
      </c>
      <c r="L10" s="109">
        <v>1847426</v>
      </c>
      <c r="M10" s="109">
        <v>1774148</v>
      </c>
      <c r="N10" s="528">
        <f t="shared" si="2"/>
        <v>765168</v>
      </c>
      <c r="O10" s="561">
        <f t="shared" si="3"/>
        <v>31855913</v>
      </c>
      <c r="P10" s="240">
        <f>'B3-FinPerf V'!K11</f>
        <v>31855913</v>
      </c>
      <c r="Q10" s="75">
        <f>'B3-FinPerf V'!L11</f>
        <v>31623063</v>
      </c>
      <c r="R10" s="76">
        <f>'B3-FinPerf V'!M11</f>
        <v>33172593</v>
      </c>
    </row>
    <row r="11" spans="1:18" ht="12.75" customHeight="1">
      <c r="A11" s="128" t="str">
        <f>'B3-FinPerf V'!A12</f>
        <v>Vote 6 - Community Services</v>
      </c>
      <c r="B11" s="128"/>
      <c r="C11" s="400">
        <v>4199274</v>
      </c>
      <c r="D11" s="109">
        <v>3336563</v>
      </c>
      <c r="E11" s="109">
        <v>3960570</v>
      </c>
      <c r="F11" s="109">
        <v>4223697</v>
      </c>
      <c r="G11" s="109">
        <v>2460536</v>
      </c>
      <c r="H11" s="399">
        <v>4017376</v>
      </c>
      <c r="I11" s="400">
        <v>6708341</v>
      </c>
      <c r="J11" s="109">
        <v>4724282</v>
      </c>
      <c r="K11" s="109">
        <v>3958606</v>
      </c>
      <c r="L11" s="109">
        <v>2495203</v>
      </c>
      <c r="M11" s="109">
        <v>3330674</v>
      </c>
      <c r="N11" s="528">
        <f t="shared" si="2"/>
        <v>4059128</v>
      </c>
      <c r="O11" s="561">
        <f t="shared" si="3"/>
        <v>47474250</v>
      </c>
      <c r="P11" s="240">
        <f>'B3-FinPerf V'!K12</f>
        <v>47474250</v>
      </c>
      <c r="Q11" s="75">
        <f>'B3-FinPerf V'!L12</f>
        <v>49800488</v>
      </c>
      <c r="R11" s="76">
        <f>'B3-FinPerf V'!M12</f>
        <v>52240712</v>
      </c>
    </row>
    <row r="12" spans="1:18" ht="12.75" customHeight="1">
      <c r="A12" s="128" t="str">
        <f>'B3-FinPerf V'!A13</f>
        <v>Vote 7 - Electrical Engineering Services</v>
      </c>
      <c r="B12" s="128"/>
      <c r="C12" s="400">
        <v>30457919</v>
      </c>
      <c r="D12" s="109">
        <v>34109469</v>
      </c>
      <c r="E12" s="109">
        <v>36002239</v>
      </c>
      <c r="F12" s="109">
        <v>32130299</v>
      </c>
      <c r="G12" s="109">
        <v>28682609</v>
      </c>
      <c r="H12" s="399">
        <v>26213921</v>
      </c>
      <c r="I12" s="400">
        <v>31237694</v>
      </c>
      <c r="J12" s="109">
        <v>29194343</v>
      </c>
      <c r="K12" s="109">
        <v>26489635</v>
      </c>
      <c r="L12" s="109">
        <v>28479920</v>
      </c>
      <c r="M12" s="109">
        <v>29039786</v>
      </c>
      <c r="N12" s="528">
        <f t="shared" si="2"/>
        <v>74486650</v>
      </c>
      <c r="O12" s="561">
        <f t="shared" si="3"/>
        <v>406524484</v>
      </c>
      <c r="P12" s="240">
        <f>'B3-FinPerf V'!K13</f>
        <v>406524484</v>
      </c>
      <c r="Q12" s="75">
        <f>'B3-FinPerf V'!L13</f>
        <v>428121184</v>
      </c>
      <c r="R12" s="76">
        <f>'B3-FinPerf V'!M13</f>
        <v>447629121</v>
      </c>
    </row>
    <row r="13" spans="1:18" ht="12.75" customHeight="1">
      <c r="A13" s="128" t="str">
        <f>'B3-FinPerf V'!A14</f>
        <v>Vote 8 - Engineering Services</v>
      </c>
      <c r="B13" s="128"/>
      <c r="C13" s="400">
        <v>84134</v>
      </c>
      <c r="D13" s="109">
        <v>25694511</v>
      </c>
      <c r="E13" s="109">
        <v>110488</v>
      </c>
      <c r="F13" s="109">
        <v>100171</v>
      </c>
      <c r="G13" s="109">
        <v>29323405</v>
      </c>
      <c r="H13" s="399">
        <v>124399</v>
      </c>
      <c r="I13" s="400">
        <v>33986</v>
      </c>
      <c r="J13" s="109">
        <v>59463</v>
      </c>
      <c r="K13" s="109">
        <v>20581287</v>
      </c>
      <c r="L13" s="109">
        <v>27399</v>
      </c>
      <c r="M13" s="109">
        <v>26542</v>
      </c>
      <c r="N13" s="528">
        <f t="shared" si="2"/>
        <v>-2306460</v>
      </c>
      <c r="O13" s="561">
        <f t="shared" si="3"/>
        <v>73859325</v>
      </c>
      <c r="P13" s="240">
        <f>'B3-FinPerf V'!K14</f>
        <v>73859325</v>
      </c>
      <c r="Q13" s="75">
        <f>'B3-FinPerf V'!L14</f>
        <v>87793332</v>
      </c>
      <c r="R13" s="76">
        <f>'B3-FinPerf V'!M14</f>
        <v>94957808</v>
      </c>
    </row>
    <row r="14" spans="1:18" ht="12.75" customHeight="1">
      <c r="A14" s="128" t="str">
        <f>'B3-FinPerf V'!A15</f>
        <v>Vote 9 - [NAME OF VOTE 9]</v>
      </c>
      <c r="B14" s="128"/>
      <c r="C14" s="400"/>
      <c r="D14" s="109"/>
      <c r="E14" s="109"/>
      <c r="F14" s="109"/>
      <c r="G14" s="109"/>
      <c r="H14" s="399"/>
      <c r="I14" s="400"/>
      <c r="J14" s="109"/>
      <c r="K14" s="109"/>
      <c r="L14" s="109"/>
      <c r="M14" s="109"/>
      <c r="N14" s="528">
        <f t="shared" si="2"/>
        <v>0</v>
      </c>
      <c r="O14" s="561">
        <f t="shared" si="3"/>
        <v>0</v>
      </c>
      <c r="P14" s="240">
        <f>'B3-FinPerf V'!K15</f>
        <v>0</v>
      </c>
      <c r="Q14" s="75">
        <f>'B3-FinPerf V'!L15</f>
        <v>0</v>
      </c>
      <c r="R14" s="76">
        <f>'B3-FinPerf V'!M15</f>
        <v>0</v>
      </c>
    </row>
    <row r="15" spans="1:18" ht="12.75" customHeight="1">
      <c r="A15" s="128" t="str">
        <f>'B3-FinPerf V'!A16</f>
        <v>Vote 10 - [NAME OF VOTE 10]</v>
      </c>
      <c r="B15" s="128"/>
      <c r="C15" s="400"/>
      <c r="D15" s="109"/>
      <c r="E15" s="109"/>
      <c r="F15" s="109"/>
      <c r="G15" s="109"/>
      <c r="H15" s="399"/>
      <c r="I15" s="400"/>
      <c r="J15" s="109"/>
      <c r="K15" s="109"/>
      <c r="L15" s="109"/>
      <c r="M15" s="109"/>
      <c r="N15" s="528">
        <f t="shared" si="2"/>
        <v>0</v>
      </c>
      <c r="O15" s="561"/>
      <c r="P15" s="240">
        <f>'B3-FinPerf V'!K16</f>
        <v>0</v>
      </c>
      <c r="Q15" s="75">
        <f>'B3-FinPerf V'!L16</f>
        <v>0</v>
      </c>
      <c r="R15" s="76">
        <f>'B3-FinPerf V'!M16</f>
        <v>0</v>
      </c>
    </row>
    <row r="16" spans="1:18" ht="12.75" customHeight="1">
      <c r="A16" s="128" t="str">
        <f>'B3-FinPerf V'!A17</f>
        <v>Vote 11 - [NAME OF VOTE 11]</v>
      </c>
      <c r="B16" s="128"/>
      <c r="C16" s="400"/>
      <c r="D16" s="109"/>
      <c r="E16" s="109"/>
      <c r="F16" s="109"/>
      <c r="G16" s="109"/>
      <c r="H16" s="399"/>
      <c r="I16" s="400"/>
      <c r="J16" s="109"/>
      <c r="K16" s="109"/>
      <c r="L16" s="109"/>
      <c r="M16" s="109"/>
      <c r="N16" s="528">
        <f t="shared" si="2"/>
        <v>0</v>
      </c>
      <c r="O16" s="561"/>
      <c r="P16" s="240">
        <f>'B3-FinPerf V'!K17</f>
        <v>0</v>
      </c>
      <c r="Q16" s="75">
        <f>'B3-FinPerf V'!L17</f>
        <v>0</v>
      </c>
      <c r="R16" s="76">
        <f>'B3-FinPerf V'!M17</f>
        <v>0</v>
      </c>
    </row>
    <row r="17" spans="1:18" ht="12.75" customHeight="1">
      <c r="A17" s="128" t="str">
        <f>'B3-FinPerf V'!A18</f>
        <v>Vote 12 - [NAME OF VOTE 12]</v>
      </c>
      <c r="B17" s="128"/>
      <c r="C17" s="400"/>
      <c r="D17" s="109"/>
      <c r="E17" s="109"/>
      <c r="F17" s="109"/>
      <c r="G17" s="109"/>
      <c r="H17" s="399"/>
      <c r="I17" s="400"/>
      <c r="J17" s="109"/>
      <c r="K17" s="109"/>
      <c r="L17" s="109"/>
      <c r="M17" s="109"/>
      <c r="N17" s="528">
        <f t="shared" si="2"/>
        <v>0</v>
      </c>
      <c r="O17" s="561"/>
      <c r="P17" s="240">
        <f>'B3-FinPerf V'!K18</f>
        <v>0</v>
      </c>
      <c r="Q17" s="75">
        <f>'B3-FinPerf V'!L18</f>
        <v>0</v>
      </c>
      <c r="R17" s="76">
        <f>'B3-FinPerf V'!M18</f>
        <v>0</v>
      </c>
    </row>
    <row r="18" spans="1:18" ht="12.75" customHeight="1">
      <c r="A18" s="128" t="str">
        <f>'B3-FinPerf V'!A19</f>
        <v>Vote 13 - [NAME OF VOTE 13]</v>
      </c>
      <c r="B18" s="128"/>
      <c r="C18" s="400"/>
      <c r="D18" s="109"/>
      <c r="E18" s="109"/>
      <c r="F18" s="109"/>
      <c r="G18" s="109"/>
      <c r="H18" s="399"/>
      <c r="I18" s="400"/>
      <c r="J18" s="109"/>
      <c r="K18" s="109"/>
      <c r="L18" s="109"/>
      <c r="M18" s="109"/>
      <c r="N18" s="528">
        <f t="shared" si="2"/>
        <v>0</v>
      </c>
      <c r="O18" s="561"/>
      <c r="P18" s="240">
        <f>'B3-FinPerf V'!K19</f>
        <v>0</v>
      </c>
      <c r="Q18" s="75">
        <f>'B3-FinPerf V'!L19</f>
        <v>0</v>
      </c>
      <c r="R18" s="76">
        <f>'B3-FinPerf V'!M19</f>
        <v>0</v>
      </c>
    </row>
    <row r="19" spans="1:18" ht="12.75" customHeight="1">
      <c r="A19" s="128" t="str">
        <f>'B3-FinPerf V'!A20</f>
        <v>Vote 14 - [NAME OF VOTE 14]</v>
      </c>
      <c r="B19" s="128"/>
      <c r="C19" s="400"/>
      <c r="D19" s="109"/>
      <c r="E19" s="109"/>
      <c r="F19" s="109"/>
      <c r="G19" s="109"/>
      <c r="H19" s="399"/>
      <c r="I19" s="400"/>
      <c r="J19" s="109"/>
      <c r="K19" s="109"/>
      <c r="L19" s="109"/>
      <c r="M19" s="109"/>
      <c r="N19" s="528">
        <f t="shared" si="2"/>
        <v>0</v>
      </c>
      <c r="O19" s="561"/>
      <c r="P19" s="240">
        <f>'B3-FinPerf V'!K20</f>
        <v>0</v>
      </c>
      <c r="Q19" s="75">
        <f>'B3-FinPerf V'!L20</f>
        <v>0</v>
      </c>
      <c r="R19" s="76">
        <f>'B3-FinPerf V'!M20</f>
        <v>0</v>
      </c>
    </row>
    <row r="20" spans="1:18" ht="12.75" customHeight="1">
      <c r="A20" s="128" t="str">
        <f>'B3-FinPerf V'!A21</f>
        <v>Vote 15 - [NAME OF VOTE 15]</v>
      </c>
      <c r="B20" s="128"/>
      <c r="C20" s="400"/>
      <c r="D20" s="109"/>
      <c r="E20" s="109"/>
      <c r="F20" s="109"/>
      <c r="G20" s="109"/>
      <c r="H20" s="399"/>
      <c r="I20" s="400"/>
      <c r="J20" s="109"/>
      <c r="K20" s="109"/>
      <c r="L20" s="109"/>
      <c r="M20" s="109"/>
      <c r="N20" s="528">
        <f t="shared" si="2"/>
        <v>0</v>
      </c>
      <c r="O20" s="561">
        <f>SUM(C20:N20)</f>
        <v>0</v>
      </c>
      <c r="P20" s="240">
        <f>'B3-FinPerf V'!K21</f>
        <v>0</v>
      </c>
      <c r="Q20" s="75">
        <f>'B3-FinPerf V'!L21</f>
        <v>0</v>
      </c>
      <c r="R20" s="76">
        <f>'B3-FinPerf V'!M21</f>
        <v>0</v>
      </c>
    </row>
    <row r="21" spans="1:18" ht="12.75" customHeight="1">
      <c r="A21" s="562" t="str">
        <f>'B3-FinPerf V'!A22</f>
        <v>Total Revenue by Vote</v>
      </c>
      <c r="B21" s="562"/>
      <c r="C21" s="304">
        <f t="shared" ref="C21:R21" si="4">SUM(C6:C20)</f>
        <v>137710639</v>
      </c>
      <c r="D21" s="150">
        <f t="shared" si="4"/>
        <v>74311998</v>
      </c>
      <c r="E21" s="150">
        <f t="shared" si="4"/>
        <v>53737510</v>
      </c>
      <c r="F21" s="150">
        <f t="shared" si="4"/>
        <v>47138800</v>
      </c>
      <c r="G21" s="150">
        <f t="shared" si="4"/>
        <v>75183275</v>
      </c>
      <c r="H21" s="542">
        <f t="shared" si="4"/>
        <v>93748766</v>
      </c>
      <c r="I21" s="304">
        <f t="shared" si="4"/>
        <v>46556091</v>
      </c>
      <c r="J21" s="150">
        <f t="shared" si="4"/>
        <v>42765171</v>
      </c>
      <c r="K21" s="150">
        <f t="shared" si="4"/>
        <v>112305733</v>
      </c>
      <c r="L21" s="150">
        <f t="shared" si="4"/>
        <v>39812129</v>
      </c>
      <c r="M21" s="150">
        <f t="shared" si="4"/>
        <v>40731649</v>
      </c>
      <c r="N21" s="542">
        <f t="shared" si="4"/>
        <v>146157315</v>
      </c>
      <c r="O21" s="563">
        <f t="shared" si="4"/>
        <v>910159076</v>
      </c>
      <c r="P21" s="304">
        <f t="shared" si="4"/>
        <v>910159076</v>
      </c>
      <c r="Q21" s="150">
        <f t="shared" si="4"/>
        <v>920189686</v>
      </c>
      <c r="R21" s="151">
        <f t="shared" si="4"/>
        <v>1009178004</v>
      </c>
    </row>
    <row r="22" spans="1:18" ht="5.0999999999999996" customHeight="1">
      <c r="A22" s="562"/>
      <c r="B22" s="135"/>
      <c r="C22" s="240"/>
      <c r="D22" s="75"/>
      <c r="E22" s="75"/>
      <c r="F22" s="75"/>
      <c r="G22" s="75"/>
      <c r="H22" s="528"/>
      <c r="I22" s="240"/>
      <c r="J22" s="75"/>
      <c r="K22" s="75"/>
      <c r="L22" s="75"/>
      <c r="M22" s="75"/>
      <c r="N22" s="528"/>
      <c r="O22" s="561"/>
      <c r="P22" s="240"/>
      <c r="Q22" s="75"/>
      <c r="R22" s="76"/>
    </row>
    <row r="23" spans="1:18" ht="12.75" customHeight="1">
      <c r="A23" s="562" t="str">
        <f>'B3-FinPerf V'!A24</f>
        <v>Expenditure by Vote</v>
      </c>
      <c r="B23" s="125"/>
      <c r="C23" s="240"/>
      <c r="D23" s="75"/>
      <c r="E23" s="75"/>
      <c r="F23" s="75"/>
      <c r="G23" s="75"/>
      <c r="H23" s="528"/>
      <c r="I23" s="240"/>
      <c r="J23" s="75"/>
      <c r="K23" s="75"/>
      <c r="L23" s="75"/>
      <c r="M23" s="75"/>
      <c r="N23" s="528"/>
      <c r="O23" s="561"/>
      <c r="P23" s="240"/>
      <c r="Q23" s="75"/>
      <c r="R23" s="76"/>
    </row>
    <row r="24" spans="1:18" ht="12.75" customHeight="1">
      <c r="A24" s="128" t="str">
        <f>'B3-FinPerf V'!A25</f>
        <v>Vote 1 - Municipal Manager</v>
      </c>
      <c r="B24" s="128"/>
      <c r="C24" s="400">
        <v>864813</v>
      </c>
      <c r="D24" s="109">
        <v>864754</v>
      </c>
      <c r="E24" s="109">
        <v>662742</v>
      </c>
      <c r="F24" s="109">
        <v>706362</v>
      </c>
      <c r="G24" s="109">
        <v>750072</v>
      </c>
      <c r="H24" s="399">
        <v>678164</v>
      </c>
      <c r="I24" s="400">
        <v>988015</v>
      </c>
      <c r="J24" s="109">
        <v>803221</v>
      </c>
      <c r="K24" s="109">
        <v>1074072</v>
      </c>
      <c r="L24" s="109">
        <v>1070356</v>
      </c>
      <c r="M24" s="109">
        <v>921067</v>
      </c>
      <c r="N24" s="528">
        <f t="shared" ref="N24:N38" si="5">P24-SUM(C24:M24)</f>
        <v>1865278</v>
      </c>
      <c r="O24" s="561">
        <f t="shared" ref="O24:O38" si="6">SUM(C24:N24)</f>
        <v>11248916</v>
      </c>
      <c r="P24" s="240">
        <f>'B3-FinPerf V'!K25</f>
        <v>11248916</v>
      </c>
      <c r="Q24" s="75">
        <f>'B3-FinPerf V'!L25</f>
        <v>12039011</v>
      </c>
      <c r="R24" s="76">
        <f>'B3-FinPerf V'!M25</f>
        <v>12502380</v>
      </c>
    </row>
    <row r="25" spans="1:18" ht="12.75" customHeight="1">
      <c r="A25" s="128" t="str">
        <f>'B3-FinPerf V'!A26</f>
        <v>Vote 2 - Planning &amp; Economic Development</v>
      </c>
      <c r="B25" s="128"/>
      <c r="C25" s="400">
        <v>2625840</v>
      </c>
      <c r="D25" s="109">
        <v>3201031</v>
      </c>
      <c r="E25" s="109">
        <v>1642080</v>
      </c>
      <c r="F25" s="109">
        <v>3071023</v>
      </c>
      <c r="G25" s="109">
        <v>3313248</v>
      </c>
      <c r="H25" s="399">
        <v>2466221</v>
      </c>
      <c r="I25" s="400">
        <v>1182254</v>
      </c>
      <c r="J25" s="109">
        <v>1091227</v>
      </c>
      <c r="K25" s="109">
        <v>3253542</v>
      </c>
      <c r="L25" s="109">
        <v>1127371</v>
      </c>
      <c r="M25" s="109">
        <v>1336252</v>
      </c>
      <c r="N25" s="528">
        <f t="shared" si="5"/>
        <v>-872836</v>
      </c>
      <c r="O25" s="561">
        <f t="shared" si="6"/>
        <v>23437253</v>
      </c>
      <c r="P25" s="240">
        <f>'B3-FinPerf V'!K26</f>
        <v>23437253</v>
      </c>
      <c r="Q25" s="75">
        <f>'B3-FinPerf V'!L26</f>
        <v>26214230</v>
      </c>
      <c r="R25" s="76">
        <f>'B3-FinPerf V'!M26</f>
        <v>28291939</v>
      </c>
    </row>
    <row r="26" spans="1:18" ht="12.75" customHeight="1">
      <c r="A26" s="128" t="str">
        <f>'B3-FinPerf V'!A27</f>
        <v>Vote 3 - Financial Services</v>
      </c>
      <c r="B26" s="128"/>
      <c r="C26" s="400">
        <v>5245431</v>
      </c>
      <c r="D26" s="109">
        <v>3008643</v>
      </c>
      <c r="E26" s="109">
        <v>3617724</v>
      </c>
      <c r="F26" s="109">
        <v>4801948</v>
      </c>
      <c r="G26" s="109">
        <v>4109275</v>
      </c>
      <c r="H26" s="399">
        <v>4270469</v>
      </c>
      <c r="I26" s="400">
        <v>3973268</v>
      </c>
      <c r="J26" s="109">
        <v>3966388</v>
      </c>
      <c r="K26" s="109">
        <v>3721516</v>
      </c>
      <c r="L26" s="109">
        <v>5326042</v>
      </c>
      <c r="M26" s="109">
        <v>3682787</v>
      </c>
      <c r="N26" s="528">
        <f t="shared" si="5"/>
        <v>14365208</v>
      </c>
      <c r="O26" s="561">
        <f t="shared" si="6"/>
        <v>60088699</v>
      </c>
      <c r="P26" s="240">
        <f>'B3-FinPerf V'!K27</f>
        <v>60088699</v>
      </c>
      <c r="Q26" s="75">
        <f>'B3-FinPerf V'!L27</f>
        <v>63142567</v>
      </c>
      <c r="R26" s="76">
        <f>'B3-FinPerf V'!M27</f>
        <v>66150504</v>
      </c>
    </row>
    <row r="27" spans="1:18" ht="12.75" customHeight="1">
      <c r="A27" s="128" t="str">
        <f>'B3-FinPerf V'!A28</f>
        <v>Vote 4 - Corporate Services</v>
      </c>
      <c r="B27" s="128"/>
      <c r="C27" s="400">
        <v>9993727</v>
      </c>
      <c r="D27" s="109">
        <v>6314532</v>
      </c>
      <c r="E27" s="109">
        <v>5774222</v>
      </c>
      <c r="F27" s="109">
        <v>4652085</v>
      </c>
      <c r="G27" s="109">
        <v>6410366</v>
      </c>
      <c r="H27" s="399">
        <v>6547625</v>
      </c>
      <c r="I27" s="400">
        <v>7888231</v>
      </c>
      <c r="J27" s="109">
        <v>4534467</v>
      </c>
      <c r="K27" s="109">
        <v>5444581</v>
      </c>
      <c r="L27" s="109">
        <v>6016700</v>
      </c>
      <c r="M27" s="109">
        <v>4496263</v>
      </c>
      <c r="N27" s="528">
        <f t="shared" si="5"/>
        <v>11530482</v>
      </c>
      <c r="O27" s="561">
        <f t="shared" si="6"/>
        <v>79603281</v>
      </c>
      <c r="P27" s="240">
        <f>'B3-FinPerf V'!K28</f>
        <v>79603281</v>
      </c>
      <c r="Q27" s="75">
        <f>'B3-FinPerf V'!L28</f>
        <v>75136676</v>
      </c>
      <c r="R27" s="76">
        <f>'B3-FinPerf V'!M28</f>
        <v>78644867</v>
      </c>
    </row>
    <row r="28" spans="1:18" ht="12.75" customHeight="1">
      <c r="A28" s="128" t="str">
        <f>'B3-FinPerf V'!A29</f>
        <v>Vote 5 - Community Services</v>
      </c>
      <c r="B28" s="128"/>
      <c r="C28" s="400">
        <v>5544136</v>
      </c>
      <c r="D28" s="109">
        <v>6846360</v>
      </c>
      <c r="E28" s="109">
        <v>7045817</v>
      </c>
      <c r="F28" s="109">
        <v>7263964</v>
      </c>
      <c r="G28" s="109">
        <v>6649877</v>
      </c>
      <c r="H28" s="399">
        <v>8433636</v>
      </c>
      <c r="I28" s="400">
        <v>7618169</v>
      </c>
      <c r="J28" s="109">
        <v>6070693</v>
      </c>
      <c r="K28" s="109">
        <v>6106884</v>
      </c>
      <c r="L28" s="109">
        <v>8282056</v>
      </c>
      <c r="M28" s="109">
        <v>6734400</v>
      </c>
      <c r="N28" s="528">
        <f t="shared" si="5"/>
        <v>13337535</v>
      </c>
      <c r="O28" s="561">
        <f t="shared" si="6"/>
        <v>89933527</v>
      </c>
      <c r="P28" s="240">
        <f>'B3-FinPerf V'!K29</f>
        <v>89933527</v>
      </c>
      <c r="Q28" s="75">
        <f>'B3-FinPerf V'!L29</f>
        <v>93544419</v>
      </c>
      <c r="R28" s="76">
        <f>'B3-FinPerf V'!M29</f>
        <v>97332188</v>
      </c>
    </row>
    <row r="29" spans="1:18" ht="12.75" customHeight="1">
      <c r="A29" s="128" t="str">
        <f>'B3-FinPerf V'!A30</f>
        <v>Vote 6 - Community Services</v>
      </c>
      <c r="B29" s="128"/>
      <c r="C29" s="400">
        <v>3517489</v>
      </c>
      <c r="D29" s="109">
        <v>5568409</v>
      </c>
      <c r="E29" s="109">
        <v>6863216</v>
      </c>
      <c r="F29" s="109">
        <v>5681137</v>
      </c>
      <c r="G29" s="109">
        <v>6435961</v>
      </c>
      <c r="H29" s="399">
        <v>5864121</v>
      </c>
      <c r="I29" s="400">
        <v>5092930</v>
      </c>
      <c r="J29" s="109">
        <v>5488279</v>
      </c>
      <c r="K29" s="109">
        <v>5097347</v>
      </c>
      <c r="L29" s="109">
        <v>5194288</v>
      </c>
      <c r="M29" s="109">
        <v>4716866</v>
      </c>
      <c r="N29" s="528">
        <f t="shared" si="5"/>
        <v>1534749</v>
      </c>
      <c r="O29" s="561">
        <f t="shared" si="6"/>
        <v>61054792</v>
      </c>
      <c r="P29" s="240">
        <f>'B3-FinPerf V'!K30</f>
        <v>61054792</v>
      </c>
      <c r="Q29" s="75">
        <f>'B3-FinPerf V'!L30</f>
        <v>64182394</v>
      </c>
      <c r="R29" s="76">
        <f>'B3-FinPerf V'!M30</f>
        <v>67372051</v>
      </c>
    </row>
    <row r="30" spans="1:18" ht="12.75" customHeight="1">
      <c r="A30" s="128" t="str">
        <f>'B3-FinPerf V'!A31</f>
        <v>Vote 7 - Electrical Engineering Services</v>
      </c>
      <c r="B30" s="128"/>
      <c r="C30" s="400">
        <v>6563428</v>
      </c>
      <c r="D30" s="109">
        <v>39182386</v>
      </c>
      <c r="E30" s="109">
        <v>38659787</v>
      </c>
      <c r="F30" s="109">
        <v>25254327</v>
      </c>
      <c r="G30" s="109">
        <v>25872402</v>
      </c>
      <c r="H30" s="399">
        <v>25399222</v>
      </c>
      <c r="I30" s="400">
        <v>19754152</v>
      </c>
      <c r="J30" s="109">
        <v>30489681</v>
      </c>
      <c r="K30" s="109">
        <v>23233039</v>
      </c>
      <c r="L30" s="109">
        <v>28198688</v>
      </c>
      <c r="M30" s="109">
        <v>25236830</v>
      </c>
      <c r="N30" s="528">
        <f t="shared" si="5"/>
        <v>74382781</v>
      </c>
      <c r="O30" s="561">
        <f t="shared" si="6"/>
        <v>362226723</v>
      </c>
      <c r="P30" s="240">
        <f>'B3-FinPerf V'!K31</f>
        <v>362226723</v>
      </c>
      <c r="Q30" s="75">
        <f>'B3-FinPerf V'!L31</f>
        <v>383192450</v>
      </c>
      <c r="R30" s="76">
        <f>'B3-FinPerf V'!M31</f>
        <v>404319773</v>
      </c>
    </row>
    <row r="31" spans="1:18" ht="12.75" customHeight="1">
      <c r="A31" s="128" t="str">
        <f>'B3-FinPerf V'!A32</f>
        <v>Vote 8 - Engineering Services</v>
      </c>
      <c r="B31" s="128"/>
      <c r="C31" s="400">
        <v>8906493</v>
      </c>
      <c r="D31" s="109">
        <v>7973317</v>
      </c>
      <c r="E31" s="109">
        <v>10334544</v>
      </c>
      <c r="F31" s="109">
        <v>9681371</v>
      </c>
      <c r="G31" s="109">
        <v>8701516</v>
      </c>
      <c r="H31" s="399">
        <v>11204108</v>
      </c>
      <c r="I31" s="400">
        <v>8832801</v>
      </c>
      <c r="J31" s="109">
        <v>9967019</v>
      </c>
      <c r="K31" s="109">
        <v>9819146</v>
      </c>
      <c r="L31" s="109">
        <v>7115920</v>
      </c>
      <c r="M31" s="109">
        <v>9664692</v>
      </c>
      <c r="N31" s="528">
        <f t="shared" si="5"/>
        <v>9730601</v>
      </c>
      <c r="O31" s="561">
        <f t="shared" si="6"/>
        <v>111931528</v>
      </c>
      <c r="P31" s="240">
        <f>'B3-FinPerf V'!K32</f>
        <v>111931528</v>
      </c>
      <c r="Q31" s="75">
        <f>'B3-FinPerf V'!L32</f>
        <v>121962675</v>
      </c>
      <c r="R31" s="76">
        <f>'B3-FinPerf V'!M32</f>
        <v>127044875</v>
      </c>
    </row>
    <row r="32" spans="1:18" ht="12.75" customHeight="1">
      <c r="A32" s="128" t="str">
        <f>'B3-FinPerf V'!A33</f>
        <v>Vote 9 - [NAME OF VOTE 9]</v>
      </c>
      <c r="B32" s="128"/>
      <c r="C32" s="400"/>
      <c r="D32" s="109"/>
      <c r="E32" s="109"/>
      <c r="F32" s="109"/>
      <c r="G32" s="109"/>
      <c r="H32" s="399"/>
      <c r="I32" s="400"/>
      <c r="J32" s="109"/>
      <c r="K32" s="109"/>
      <c r="L32" s="109"/>
      <c r="M32" s="109"/>
      <c r="N32" s="528">
        <f t="shared" si="5"/>
        <v>0</v>
      </c>
      <c r="O32" s="561">
        <f t="shared" si="6"/>
        <v>0</v>
      </c>
      <c r="P32" s="240">
        <f>'B3-FinPerf V'!K33</f>
        <v>0</v>
      </c>
      <c r="Q32" s="75">
        <f>'B3-FinPerf V'!L33</f>
        <v>0</v>
      </c>
      <c r="R32" s="76">
        <f>'B3-FinPerf V'!M33</f>
        <v>0</v>
      </c>
    </row>
    <row r="33" spans="1:18" ht="12.75" customHeight="1">
      <c r="A33" s="128" t="str">
        <f>'B3-FinPerf V'!A34</f>
        <v>Vote 10 - [NAME OF VOTE 10]</v>
      </c>
      <c r="B33" s="128"/>
      <c r="C33" s="400"/>
      <c r="D33" s="109"/>
      <c r="E33" s="109"/>
      <c r="F33" s="109"/>
      <c r="G33" s="109"/>
      <c r="H33" s="399"/>
      <c r="I33" s="400"/>
      <c r="J33" s="109"/>
      <c r="K33" s="109"/>
      <c r="L33" s="109"/>
      <c r="M33" s="109"/>
      <c r="N33" s="528">
        <f t="shared" si="5"/>
        <v>0</v>
      </c>
      <c r="O33" s="561">
        <f t="shared" si="6"/>
        <v>0</v>
      </c>
      <c r="P33" s="240">
        <f>'B3-FinPerf V'!K34</f>
        <v>0</v>
      </c>
      <c r="Q33" s="75">
        <f>'B3-FinPerf V'!L34</f>
        <v>0</v>
      </c>
      <c r="R33" s="76">
        <f>'B3-FinPerf V'!M34</f>
        <v>0</v>
      </c>
    </row>
    <row r="34" spans="1:18" ht="12.75" customHeight="1">
      <c r="A34" s="128" t="str">
        <f>'B3-FinPerf V'!A35</f>
        <v>Vote 11 - [NAME OF VOTE 11]</v>
      </c>
      <c r="B34" s="128"/>
      <c r="C34" s="400"/>
      <c r="D34" s="109"/>
      <c r="E34" s="109"/>
      <c r="F34" s="109"/>
      <c r="G34" s="109"/>
      <c r="H34" s="399"/>
      <c r="I34" s="400"/>
      <c r="J34" s="109"/>
      <c r="K34" s="109"/>
      <c r="L34" s="109"/>
      <c r="M34" s="109"/>
      <c r="N34" s="528">
        <f t="shared" si="5"/>
        <v>0</v>
      </c>
      <c r="O34" s="561">
        <f t="shared" si="6"/>
        <v>0</v>
      </c>
      <c r="P34" s="240">
        <f>'B3-FinPerf V'!K35</f>
        <v>0</v>
      </c>
      <c r="Q34" s="75">
        <f>'B3-FinPerf V'!L35</f>
        <v>0</v>
      </c>
      <c r="R34" s="76">
        <f>'B3-FinPerf V'!M35</f>
        <v>0</v>
      </c>
    </row>
    <row r="35" spans="1:18" ht="12.75" customHeight="1">
      <c r="A35" s="128" t="str">
        <f>'B3-FinPerf V'!A36</f>
        <v>Vote 12 - [NAME OF VOTE 12]</v>
      </c>
      <c r="B35" s="128"/>
      <c r="C35" s="400"/>
      <c r="D35" s="109"/>
      <c r="E35" s="109"/>
      <c r="F35" s="109"/>
      <c r="G35" s="109"/>
      <c r="H35" s="399"/>
      <c r="I35" s="400"/>
      <c r="J35" s="109"/>
      <c r="K35" s="109"/>
      <c r="L35" s="109"/>
      <c r="M35" s="109"/>
      <c r="N35" s="528">
        <f t="shared" si="5"/>
        <v>0</v>
      </c>
      <c r="O35" s="561">
        <f t="shared" si="6"/>
        <v>0</v>
      </c>
      <c r="P35" s="240">
        <f>'B3-FinPerf V'!K36</f>
        <v>0</v>
      </c>
      <c r="Q35" s="75">
        <f>'B3-FinPerf V'!L36</f>
        <v>0</v>
      </c>
      <c r="R35" s="76">
        <f>'B3-FinPerf V'!M36</f>
        <v>0</v>
      </c>
    </row>
    <row r="36" spans="1:18" ht="12.75" customHeight="1">
      <c r="A36" s="128" t="str">
        <f>'B3-FinPerf V'!A37</f>
        <v>Vote 13 - [NAME OF VOTE 13]</v>
      </c>
      <c r="B36" s="128"/>
      <c r="C36" s="400"/>
      <c r="D36" s="109"/>
      <c r="E36" s="109"/>
      <c r="F36" s="109"/>
      <c r="G36" s="109"/>
      <c r="H36" s="399"/>
      <c r="I36" s="400"/>
      <c r="J36" s="109"/>
      <c r="K36" s="109"/>
      <c r="L36" s="109"/>
      <c r="M36" s="109"/>
      <c r="N36" s="528">
        <f t="shared" si="5"/>
        <v>0</v>
      </c>
      <c r="O36" s="561">
        <f t="shared" si="6"/>
        <v>0</v>
      </c>
      <c r="P36" s="240">
        <f>'B3-FinPerf V'!K37</f>
        <v>0</v>
      </c>
      <c r="Q36" s="75">
        <f>'B3-FinPerf V'!L37</f>
        <v>0</v>
      </c>
      <c r="R36" s="76">
        <f>'B3-FinPerf V'!M37</f>
        <v>0</v>
      </c>
    </row>
    <row r="37" spans="1:18" ht="12.75" customHeight="1">
      <c r="A37" s="128" t="str">
        <f>'B3-FinPerf V'!A38</f>
        <v>Vote 14 - [NAME OF VOTE 14]</v>
      </c>
      <c r="B37" s="128"/>
      <c r="C37" s="400"/>
      <c r="D37" s="109"/>
      <c r="E37" s="109"/>
      <c r="F37" s="109"/>
      <c r="G37" s="109"/>
      <c r="H37" s="399"/>
      <c r="I37" s="400"/>
      <c r="J37" s="109"/>
      <c r="K37" s="109"/>
      <c r="L37" s="109"/>
      <c r="M37" s="109"/>
      <c r="N37" s="528">
        <f t="shared" si="5"/>
        <v>0</v>
      </c>
      <c r="O37" s="561">
        <f t="shared" si="6"/>
        <v>0</v>
      </c>
      <c r="P37" s="240">
        <f>'B3-FinPerf V'!K38</f>
        <v>0</v>
      </c>
      <c r="Q37" s="75">
        <f>'B3-FinPerf V'!L38</f>
        <v>0</v>
      </c>
      <c r="R37" s="76">
        <f>'B3-FinPerf V'!M38</f>
        <v>0</v>
      </c>
    </row>
    <row r="38" spans="1:18" ht="12.75" customHeight="1">
      <c r="A38" s="128" t="str">
        <f>'B3-FinPerf V'!A39</f>
        <v>Vote 15 - [NAME OF VOTE 15]</v>
      </c>
      <c r="B38" s="128"/>
      <c r="C38" s="400"/>
      <c r="D38" s="109"/>
      <c r="E38" s="109"/>
      <c r="F38" s="109"/>
      <c r="G38" s="109"/>
      <c r="H38" s="399"/>
      <c r="I38" s="400"/>
      <c r="J38" s="109"/>
      <c r="K38" s="109"/>
      <c r="L38" s="109"/>
      <c r="M38" s="109"/>
      <c r="N38" s="528">
        <f t="shared" si="5"/>
        <v>0</v>
      </c>
      <c r="O38" s="561">
        <f t="shared" si="6"/>
        <v>0</v>
      </c>
      <c r="P38" s="240">
        <f>'B3-FinPerf V'!K39</f>
        <v>0</v>
      </c>
      <c r="Q38" s="75">
        <f>'B3-FinPerf V'!L39</f>
        <v>0</v>
      </c>
      <c r="R38" s="76">
        <f>'B3-FinPerf V'!M39</f>
        <v>0</v>
      </c>
    </row>
    <row r="39" spans="1:18" ht="12.75" customHeight="1">
      <c r="A39" s="138" t="s">
        <v>647</v>
      </c>
      <c r="B39" s="562"/>
      <c r="C39" s="304">
        <f t="shared" ref="C39:R39" si="7">SUM(C24:C38)</f>
        <v>43261357</v>
      </c>
      <c r="D39" s="150">
        <f t="shared" si="7"/>
        <v>72959432</v>
      </c>
      <c r="E39" s="150">
        <f t="shared" si="7"/>
        <v>74600132</v>
      </c>
      <c r="F39" s="150">
        <f t="shared" si="7"/>
        <v>61112217</v>
      </c>
      <c r="G39" s="150">
        <f t="shared" si="7"/>
        <v>62242717</v>
      </c>
      <c r="H39" s="542">
        <f t="shared" si="7"/>
        <v>64863566</v>
      </c>
      <c r="I39" s="304">
        <f t="shared" si="7"/>
        <v>55329820</v>
      </c>
      <c r="J39" s="150">
        <f t="shared" si="7"/>
        <v>62410975</v>
      </c>
      <c r="K39" s="150">
        <f t="shared" si="7"/>
        <v>57750127</v>
      </c>
      <c r="L39" s="150">
        <f t="shared" si="7"/>
        <v>62331421</v>
      </c>
      <c r="M39" s="150">
        <f t="shared" si="7"/>
        <v>56789157</v>
      </c>
      <c r="N39" s="542">
        <f t="shared" si="7"/>
        <v>125873798</v>
      </c>
      <c r="O39" s="563">
        <f t="shared" si="7"/>
        <v>799524719</v>
      </c>
      <c r="P39" s="304">
        <f t="shared" si="7"/>
        <v>799524719</v>
      </c>
      <c r="Q39" s="150">
        <f t="shared" si="7"/>
        <v>839414422</v>
      </c>
      <c r="R39" s="151">
        <f t="shared" si="7"/>
        <v>881658577</v>
      </c>
    </row>
    <row r="40" spans="1:18" ht="5.0999999999999996" customHeight="1">
      <c r="A40" s="135"/>
      <c r="B40" s="135"/>
      <c r="C40" s="240"/>
      <c r="D40" s="75"/>
      <c r="E40" s="75"/>
      <c r="F40" s="75"/>
      <c r="G40" s="75"/>
      <c r="H40" s="528"/>
      <c r="I40" s="240"/>
      <c r="J40" s="75"/>
      <c r="K40" s="75"/>
      <c r="L40" s="75"/>
      <c r="M40" s="75"/>
      <c r="N40" s="528"/>
      <c r="O40" s="561"/>
      <c r="P40" s="240"/>
      <c r="Q40" s="75"/>
      <c r="R40" s="76"/>
    </row>
    <row r="41" spans="1:18" ht="12.75" customHeight="1">
      <c r="A41" s="154" t="s">
        <v>242</v>
      </c>
      <c r="B41" s="154"/>
      <c r="C41" s="115">
        <f t="shared" ref="C41:R41" si="8">C21-C39</f>
        <v>94449282</v>
      </c>
      <c r="D41" s="116">
        <f t="shared" si="8"/>
        <v>1352566</v>
      </c>
      <c r="E41" s="116">
        <f t="shared" si="8"/>
        <v>-20862622</v>
      </c>
      <c r="F41" s="116">
        <f t="shared" si="8"/>
        <v>-13973417</v>
      </c>
      <c r="G41" s="116">
        <f t="shared" si="8"/>
        <v>12940558</v>
      </c>
      <c r="H41" s="543">
        <f t="shared" si="8"/>
        <v>28885200</v>
      </c>
      <c r="I41" s="115">
        <f t="shared" si="8"/>
        <v>-8773729</v>
      </c>
      <c r="J41" s="116">
        <f t="shared" si="8"/>
        <v>-19645804</v>
      </c>
      <c r="K41" s="116">
        <f t="shared" si="8"/>
        <v>54555606</v>
      </c>
      <c r="L41" s="116">
        <f t="shared" si="8"/>
        <v>-22519292</v>
      </c>
      <c r="M41" s="116">
        <f t="shared" si="8"/>
        <v>-16057508</v>
      </c>
      <c r="N41" s="543">
        <f t="shared" si="8"/>
        <v>20283517</v>
      </c>
      <c r="O41" s="564">
        <f t="shared" si="8"/>
        <v>110634357</v>
      </c>
      <c r="P41" s="115">
        <f t="shared" si="8"/>
        <v>110634357</v>
      </c>
      <c r="Q41" s="116">
        <f t="shared" si="8"/>
        <v>80775264</v>
      </c>
      <c r="R41" s="117">
        <f t="shared" si="8"/>
        <v>127519427</v>
      </c>
    </row>
    <row r="42" spans="1:18" ht="12.75" customHeight="1">
      <c r="A42" s="565" t="str">
        <f>head27a</f>
        <v>References</v>
      </c>
      <c r="B42" s="565"/>
      <c r="C42" s="566"/>
      <c r="D42" s="566"/>
      <c r="E42" s="566"/>
      <c r="F42" s="566"/>
      <c r="G42" s="566"/>
      <c r="H42" s="566"/>
      <c r="I42" s="566"/>
      <c r="J42" s="566"/>
      <c r="K42" s="566"/>
      <c r="L42" s="566"/>
      <c r="M42" s="566"/>
      <c r="N42" s="566"/>
      <c r="O42" s="566"/>
      <c r="P42" s="566"/>
      <c r="Q42" s="566"/>
      <c r="R42" s="566"/>
    </row>
    <row r="43" spans="1:18" ht="12.75" customHeight="1">
      <c r="A43" s="99" t="s">
        <v>243</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19"/>
      <c r="B45" s="319"/>
      <c r="P45" s="567"/>
      <c r="Q45" s="567"/>
      <c r="R45" s="567"/>
    </row>
    <row r="56" spans="2:2">
      <c r="B56" s="127"/>
    </row>
  </sheetData>
  <mergeCells count="3">
    <mergeCell ref="A2:A3"/>
    <mergeCell ref="C2:N2"/>
    <mergeCell ref="B2:B3"/>
  </mergeCells>
  <phoneticPr fontId="17"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sheetPr codeName="Sheet103" enableFormatConditionsCalculation="0">
    <tabColor indexed="42"/>
    <pageSetUpPr fitToPage="1"/>
  </sheetPr>
  <dimension ref="A1:S56"/>
  <sheetViews>
    <sheetView showGridLines="0" workbookViewId="0">
      <pane xSplit="2" ySplit="4" topLeftCell="C35" activePane="bottomRight" state="frozen"/>
      <selection activeCell="M17" sqref="M17:M63"/>
      <selection pane="topRight" activeCell="M17" sqref="M17:M63"/>
      <selection pane="bottomLeft" activeCell="M17" sqref="M17:M63"/>
      <selection pane="bottomRight" activeCell="M51" sqref="M51"/>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LIM333 Greater Tzaneen - Supporting Table SB13 Consolidated Adjustments Budget - monthly revenue and expenditure (standard classification) - 26 FEBRUARY 2014</v>
      </c>
      <c r="B1" s="57"/>
      <c r="D1" s="58"/>
    </row>
    <row r="2" spans="1:19" ht="25.5">
      <c r="A2" s="1327" t="str">
        <f>desc&amp;" - Standard classification"</f>
        <v>Description - Standard classification</v>
      </c>
      <c r="B2" s="1322" t="str">
        <f>head27</f>
        <v>Ref</v>
      </c>
      <c r="C2" s="1319" t="str">
        <f>Head2</f>
        <v>Budget Year 2013/14</v>
      </c>
      <c r="D2" s="1320"/>
      <c r="E2" s="1320"/>
      <c r="F2" s="1320"/>
      <c r="G2" s="1320"/>
      <c r="H2" s="1320"/>
      <c r="I2" s="1320"/>
      <c r="J2" s="1320"/>
      <c r="K2" s="1320"/>
      <c r="L2" s="1320"/>
      <c r="M2" s="1320"/>
      <c r="N2" s="1321"/>
      <c r="O2" s="548"/>
      <c r="P2" s="549" t="s">
        <v>227</v>
      </c>
      <c r="Q2" s="550"/>
      <c r="R2" s="551"/>
    </row>
    <row r="3" spans="1:19"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9" ht="25.5">
      <c r="A4" s="556" t="s">
        <v>643</v>
      </c>
      <c r="B4" s="299"/>
      <c r="C4" s="834" t="str">
        <f t="shared" ref="C4:H4" si="0">Head5A</f>
        <v>Outcome</v>
      </c>
      <c r="D4" s="835" t="str">
        <f t="shared" si="0"/>
        <v>Outcome</v>
      </c>
      <c r="E4" s="835" t="str">
        <f t="shared" si="0"/>
        <v>Outcome</v>
      </c>
      <c r="F4" s="835" t="str">
        <f t="shared" si="0"/>
        <v>Outcome</v>
      </c>
      <c r="G4" s="835" t="str">
        <f t="shared" si="0"/>
        <v>Outcome</v>
      </c>
      <c r="H4" s="836" t="str">
        <f t="shared" si="0"/>
        <v>Outcome</v>
      </c>
      <c r="I4" s="834" t="str">
        <f t="shared" ref="I4:N4" si="1">Head7</f>
        <v>Adjusted Budget</v>
      </c>
      <c r="J4" s="836" t="str">
        <f t="shared" si="1"/>
        <v>Adjusted Budget</v>
      </c>
      <c r="K4" s="835" t="str">
        <f t="shared" si="1"/>
        <v>Adjusted Budget</v>
      </c>
      <c r="L4" s="835" t="str">
        <f t="shared" si="1"/>
        <v>Adjusted Budget</v>
      </c>
      <c r="M4" s="835" t="str">
        <f t="shared" si="1"/>
        <v>Adjusted Budget</v>
      </c>
      <c r="N4" s="836" t="str">
        <f t="shared" si="1"/>
        <v>Adjusted Budget</v>
      </c>
      <c r="O4" s="568"/>
      <c r="P4" s="569" t="str">
        <f>Head7</f>
        <v>Adjusted Budget</v>
      </c>
      <c r="Q4" s="570" t="str">
        <f>Head7</f>
        <v>Adjusted Budget</v>
      </c>
      <c r="R4" s="571" t="str">
        <f>Head7</f>
        <v>Adjusted Budget</v>
      </c>
    </row>
    <row r="5" spans="1:19" ht="12.75" customHeight="1">
      <c r="A5" s="572" t="s">
        <v>653</v>
      </c>
      <c r="B5" s="573"/>
      <c r="C5" s="106"/>
      <c r="D5" s="500"/>
      <c r="E5" s="500"/>
      <c r="F5" s="500"/>
      <c r="G5" s="500"/>
      <c r="H5" s="574"/>
      <c r="I5" s="106"/>
      <c r="J5" s="500"/>
      <c r="K5" s="500"/>
      <c r="L5" s="500"/>
      <c r="M5" s="500"/>
      <c r="N5" s="574"/>
      <c r="O5" s="575"/>
      <c r="P5" s="106"/>
      <c r="Q5" s="500"/>
      <c r="R5" s="540"/>
    </row>
    <row r="6" spans="1:19" ht="12.75" customHeight="1">
      <c r="A6" s="107" t="str">
        <f>'B2-FinPerf SC'!A7</f>
        <v>Governance and administration</v>
      </c>
      <c r="B6" s="128"/>
      <c r="C6" s="257">
        <f t="shared" ref="C6:M6" si="2">SUM(C7:C9)</f>
        <v>98228700</v>
      </c>
      <c r="D6" s="257">
        <f t="shared" si="2"/>
        <v>8409963</v>
      </c>
      <c r="E6" s="257">
        <f t="shared" si="2"/>
        <v>8584405</v>
      </c>
      <c r="F6" s="257">
        <f t="shared" si="2"/>
        <v>8737089</v>
      </c>
      <c r="G6" s="257">
        <f t="shared" si="2"/>
        <v>8351884</v>
      </c>
      <c r="H6" s="729">
        <f t="shared" si="2"/>
        <v>61389483</v>
      </c>
      <c r="I6" s="730">
        <f t="shared" si="2"/>
        <v>6886802</v>
      </c>
      <c r="J6" s="257">
        <f t="shared" si="2"/>
        <v>6329841</v>
      </c>
      <c r="K6" s="257">
        <f t="shared" si="2"/>
        <v>50923542</v>
      </c>
      <c r="L6" s="257">
        <f t="shared" si="2"/>
        <v>6955463</v>
      </c>
      <c r="M6" s="257">
        <f t="shared" si="2"/>
        <v>6559402</v>
      </c>
      <c r="N6" s="536">
        <f t="shared" ref="N6:N25" si="3">P6-SUM(C6:M6)</f>
        <v>49723775</v>
      </c>
      <c r="O6" s="576">
        <f t="shared" ref="O6:O25" si="4">SUM(C6:N6)</f>
        <v>321080349</v>
      </c>
      <c r="P6" s="496">
        <f>'B2-FinPerf SC'!K7</f>
        <v>321080349</v>
      </c>
      <c r="Q6" s="140">
        <f>'B2-FinPerf SC'!L7</f>
        <v>315811641</v>
      </c>
      <c r="R6" s="141">
        <f>'B2-FinPerf SC'!M7</f>
        <v>373611334</v>
      </c>
      <c r="S6" s="127"/>
    </row>
    <row r="7" spans="1:19" ht="12.75" customHeight="1">
      <c r="A7" s="108" t="str">
        <f>'B2-FinPerf SC'!A8</f>
        <v>Executive and council</v>
      </c>
      <c r="B7" s="128"/>
      <c r="C7" s="109"/>
      <c r="D7" s="109"/>
      <c r="E7" s="109"/>
      <c r="F7" s="109"/>
      <c r="G7" s="109"/>
      <c r="H7" s="399"/>
      <c r="I7" s="400" t="s">
        <v>1787</v>
      </c>
      <c r="J7" s="109" t="s">
        <v>1787</v>
      </c>
      <c r="K7" s="109" t="s">
        <v>1787</v>
      </c>
      <c r="L7" s="109" t="s">
        <v>1787</v>
      </c>
      <c r="M7" s="109" t="s">
        <v>1787</v>
      </c>
      <c r="N7" s="528">
        <f t="shared" si="3"/>
        <v>0</v>
      </c>
      <c r="O7" s="561">
        <f t="shared" si="4"/>
        <v>0</v>
      </c>
      <c r="P7" s="240">
        <f>'B2-FinPerf SC'!K8</f>
        <v>0</v>
      </c>
      <c r="Q7" s="75">
        <f>'B2-FinPerf SC'!L8</f>
        <v>0</v>
      </c>
      <c r="R7" s="76">
        <f>'B2-FinPerf SC'!M8</f>
        <v>0</v>
      </c>
      <c r="S7" s="127"/>
    </row>
    <row r="8" spans="1:19" ht="12.75" customHeight="1">
      <c r="A8" s="108" t="str">
        <f>'B2-FinPerf SC'!A9</f>
        <v>Budget and treasury office</v>
      </c>
      <c r="B8" s="128"/>
      <c r="C8" s="111">
        <v>98228700</v>
      </c>
      <c r="D8" s="111">
        <v>8409963</v>
      </c>
      <c r="E8" s="111">
        <v>8584405</v>
      </c>
      <c r="F8" s="111">
        <v>8737089</v>
      </c>
      <c r="G8" s="111">
        <v>8351884</v>
      </c>
      <c r="H8" s="577">
        <v>61389483</v>
      </c>
      <c r="I8" s="578">
        <v>6886802</v>
      </c>
      <c r="J8" s="111">
        <v>6329841</v>
      </c>
      <c r="K8" s="111">
        <v>50923542</v>
      </c>
      <c r="L8" s="111">
        <v>6955463</v>
      </c>
      <c r="M8" s="111">
        <v>6559402</v>
      </c>
      <c r="N8" s="528">
        <f t="shared" si="3"/>
        <v>49723318</v>
      </c>
      <c r="O8" s="561">
        <f t="shared" si="4"/>
        <v>321079892</v>
      </c>
      <c r="P8" s="240">
        <f>'B2-FinPerf SC'!K9</f>
        <v>321079892</v>
      </c>
      <c r="Q8" s="75">
        <f>'B2-FinPerf SC'!L9</f>
        <v>315811162</v>
      </c>
      <c r="R8" s="76">
        <f>'B2-FinPerf SC'!M9</f>
        <v>373610831</v>
      </c>
      <c r="S8" s="127"/>
    </row>
    <row r="9" spans="1:19" ht="12.75" customHeight="1">
      <c r="A9" s="108" t="str">
        <f>'B2-FinPerf SC'!A10</f>
        <v>Corporate services</v>
      </c>
      <c r="B9" s="128"/>
      <c r="C9" s="109"/>
      <c r="D9" s="109"/>
      <c r="E9" s="109"/>
      <c r="F9" s="109"/>
      <c r="G9" s="109"/>
      <c r="H9" s="399"/>
      <c r="I9" s="400" t="s">
        <v>1787</v>
      </c>
      <c r="J9" s="109" t="s">
        <v>1787</v>
      </c>
      <c r="K9" s="109" t="s">
        <v>1787</v>
      </c>
      <c r="L9" s="109" t="s">
        <v>1787</v>
      </c>
      <c r="M9" s="109" t="s">
        <v>1787</v>
      </c>
      <c r="N9" s="528">
        <f t="shared" si="3"/>
        <v>457</v>
      </c>
      <c r="O9" s="561">
        <f t="shared" si="4"/>
        <v>457</v>
      </c>
      <c r="P9" s="240">
        <f>'B2-FinPerf SC'!K10</f>
        <v>457</v>
      </c>
      <c r="Q9" s="75">
        <f>'B2-FinPerf SC'!L10</f>
        <v>479</v>
      </c>
      <c r="R9" s="76">
        <f>'B2-FinPerf SC'!M10</f>
        <v>503</v>
      </c>
      <c r="S9" s="127"/>
    </row>
    <row r="10" spans="1:19" ht="12.75" customHeight="1">
      <c r="A10" s="107" t="str">
        <f>'B2-FinPerf SC'!A11</f>
        <v>Community and public safety</v>
      </c>
      <c r="B10" s="128"/>
      <c r="C10" s="257">
        <f t="shared" ref="C10:M10" si="5">SUM(C11:C15)</f>
        <v>449123</v>
      </c>
      <c r="D10" s="257">
        <f t="shared" si="5"/>
        <v>481910</v>
      </c>
      <c r="E10" s="257">
        <f t="shared" si="5"/>
        <v>579549</v>
      </c>
      <c r="F10" s="257">
        <f t="shared" si="5"/>
        <v>203660</v>
      </c>
      <c r="G10" s="257">
        <f t="shared" si="5"/>
        <v>211201</v>
      </c>
      <c r="H10" s="729">
        <f t="shared" si="5"/>
        <v>197843</v>
      </c>
      <c r="I10" s="730">
        <f t="shared" si="5"/>
        <v>263421</v>
      </c>
      <c r="J10" s="257">
        <f t="shared" si="5"/>
        <v>243064</v>
      </c>
      <c r="K10" s="257">
        <f t="shared" si="5"/>
        <v>127722</v>
      </c>
      <c r="L10" s="257">
        <f t="shared" si="5"/>
        <v>272904</v>
      </c>
      <c r="M10" s="257">
        <f t="shared" si="5"/>
        <v>237404</v>
      </c>
      <c r="N10" s="536">
        <f t="shared" si="3"/>
        <v>843166</v>
      </c>
      <c r="O10" s="576">
        <f t="shared" si="4"/>
        <v>4110967</v>
      </c>
      <c r="P10" s="496">
        <f>'B2-FinPerf SC'!K11</f>
        <v>4110967</v>
      </c>
      <c r="Q10" s="140">
        <f>'B2-FinPerf SC'!L11</f>
        <v>4312405</v>
      </c>
      <c r="R10" s="141">
        <f>'B2-FinPerf SC'!M11</f>
        <v>4523712</v>
      </c>
      <c r="S10" s="127"/>
    </row>
    <row r="11" spans="1:19" ht="12.75" customHeight="1">
      <c r="A11" s="108" t="str">
        <f>'B2-FinPerf SC'!A12</f>
        <v>Community and social services</v>
      </c>
      <c r="B11" s="128"/>
      <c r="C11" s="109">
        <v>17779</v>
      </c>
      <c r="D11" s="109">
        <v>10233</v>
      </c>
      <c r="E11" s="109">
        <v>5293</v>
      </c>
      <c r="F11" s="109">
        <v>4800</v>
      </c>
      <c r="G11" s="109">
        <v>4232</v>
      </c>
      <c r="H11" s="399">
        <v>3072</v>
      </c>
      <c r="I11" s="400">
        <v>5030</v>
      </c>
      <c r="J11" s="109">
        <v>8710</v>
      </c>
      <c r="K11" s="109">
        <v>10619</v>
      </c>
      <c r="L11" s="109">
        <v>10210</v>
      </c>
      <c r="M11" s="109">
        <v>11869</v>
      </c>
      <c r="N11" s="528">
        <f t="shared" si="3"/>
        <v>33129</v>
      </c>
      <c r="O11" s="561">
        <f t="shared" si="4"/>
        <v>124976</v>
      </c>
      <c r="P11" s="240">
        <f>'B2-FinPerf SC'!K12</f>
        <v>124976</v>
      </c>
      <c r="Q11" s="75">
        <f>'B2-FinPerf SC'!L12</f>
        <v>131100</v>
      </c>
      <c r="R11" s="76">
        <f>'B2-FinPerf SC'!M12</f>
        <v>137524</v>
      </c>
      <c r="S11" s="127"/>
    </row>
    <row r="12" spans="1:19" ht="12.75" customHeight="1">
      <c r="A12" s="108" t="str">
        <f>'B2-FinPerf SC'!A13</f>
        <v>Sport and recreation</v>
      </c>
      <c r="B12" s="128"/>
      <c r="C12" s="109">
        <v>4793</v>
      </c>
      <c r="D12" s="109">
        <v>5637</v>
      </c>
      <c r="E12" s="109">
        <v>2361</v>
      </c>
      <c r="F12" s="109">
        <v>3547</v>
      </c>
      <c r="G12" s="109">
        <v>1277</v>
      </c>
      <c r="H12" s="399">
        <v>2486</v>
      </c>
      <c r="I12" s="400">
        <v>9441</v>
      </c>
      <c r="J12" s="109">
        <v>3032</v>
      </c>
      <c r="K12" s="109">
        <v>1220</v>
      </c>
      <c r="L12" s="109">
        <v>4315</v>
      </c>
      <c r="M12" s="109">
        <v>3311</v>
      </c>
      <c r="N12" s="528">
        <f t="shared" si="3"/>
        <v>471346</v>
      </c>
      <c r="O12" s="561">
        <f t="shared" si="4"/>
        <v>512766</v>
      </c>
      <c r="P12" s="240">
        <f>'B2-FinPerf SC'!K13</f>
        <v>512766</v>
      </c>
      <c r="Q12" s="75">
        <f>'B2-FinPerf SC'!L13</f>
        <v>537892</v>
      </c>
      <c r="R12" s="76">
        <f>'B2-FinPerf SC'!M13</f>
        <v>564248</v>
      </c>
      <c r="S12" s="127"/>
    </row>
    <row r="13" spans="1:19" ht="12.75" customHeight="1">
      <c r="A13" s="108" t="str">
        <f>'B2-FinPerf SC'!A14</f>
        <v>Public safety</v>
      </c>
      <c r="B13" s="128"/>
      <c r="C13" s="109">
        <v>327480</v>
      </c>
      <c r="D13" s="109">
        <v>379377</v>
      </c>
      <c r="E13" s="109">
        <v>455593</v>
      </c>
      <c r="F13" s="109">
        <v>94075</v>
      </c>
      <c r="G13" s="109">
        <v>90920</v>
      </c>
      <c r="H13" s="399">
        <v>66819</v>
      </c>
      <c r="I13" s="400">
        <v>213440</v>
      </c>
      <c r="J13" s="109">
        <v>171447</v>
      </c>
      <c r="K13" s="109">
        <v>84450</v>
      </c>
      <c r="L13" s="109">
        <v>230568</v>
      </c>
      <c r="M13" s="109">
        <v>195270</v>
      </c>
      <c r="N13" s="528">
        <f t="shared" si="3"/>
        <v>691561</v>
      </c>
      <c r="O13" s="561">
        <f t="shared" si="4"/>
        <v>3001000</v>
      </c>
      <c r="P13" s="240">
        <f>'B2-FinPerf SC'!K14</f>
        <v>3001000</v>
      </c>
      <c r="Q13" s="75">
        <f>'B2-FinPerf SC'!L14</f>
        <v>3148049</v>
      </c>
      <c r="R13" s="76">
        <f>'B2-FinPerf SC'!M14</f>
        <v>3302303</v>
      </c>
      <c r="S13" s="127"/>
    </row>
    <row r="14" spans="1:19" ht="12.75" customHeight="1">
      <c r="A14" s="108" t="str">
        <f>'B2-FinPerf SC'!A15</f>
        <v>Housing</v>
      </c>
      <c r="B14" s="128"/>
      <c r="C14" s="109">
        <v>84134</v>
      </c>
      <c r="D14" s="109">
        <v>92511</v>
      </c>
      <c r="E14" s="109">
        <v>110488</v>
      </c>
      <c r="F14" s="109">
        <v>100171</v>
      </c>
      <c r="G14" s="109">
        <v>113405</v>
      </c>
      <c r="H14" s="399">
        <v>124399</v>
      </c>
      <c r="I14" s="400">
        <v>33986</v>
      </c>
      <c r="J14" s="109">
        <v>59463</v>
      </c>
      <c r="K14" s="109">
        <v>31021</v>
      </c>
      <c r="L14" s="109">
        <v>27399</v>
      </c>
      <c r="M14" s="109">
        <v>26542</v>
      </c>
      <c r="N14" s="528">
        <f t="shared" si="3"/>
        <v>-341294</v>
      </c>
      <c r="O14" s="561">
        <f t="shared" si="4"/>
        <v>462225</v>
      </c>
      <c r="P14" s="240">
        <f>'B2-FinPerf SC'!K15</f>
        <v>462225</v>
      </c>
      <c r="Q14" s="75">
        <f>'B2-FinPerf SC'!L15</f>
        <v>484874</v>
      </c>
      <c r="R14" s="76">
        <f>'B2-FinPerf SC'!M15</f>
        <v>508633</v>
      </c>
      <c r="S14" s="127"/>
    </row>
    <row r="15" spans="1:19" ht="12.75" customHeight="1">
      <c r="A15" s="108" t="str">
        <f>'B2-FinPerf SC'!A16</f>
        <v>Health</v>
      </c>
      <c r="B15" s="128"/>
      <c r="C15" s="111">
        <v>14937</v>
      </c>
      <c r="D15" s="111">
        <v>-5848</v>
      </c>
      <c r="E15" s="111">
        <v>5814</v>
      </c>
      <c r="F15" s="111">
        <v>1067</v>
      </c>
      <c r="G15" s="111">
        <v>1367</v>
      </c>
      <c r="H15" s="577">
        <v>1067</v>
      </c>
      <c r="I15" s="578">
        <v>1524</v>
      </c>
      <c r="J15" s="111">
        <v>412</v>
      </c>
      <c r="K15" s="111">
        <v>412</v>
      </c>
      <c r="L15" s="111">
        <v>412</v>
      </c>
      <c r="M15" s="111">
        <v>412</v>
      </c>
      <c r="N15" s="528">
        <f t="shared" si="3"/>
        <v>-11576</v>
      </c>
      <c r="O15" s="561">
        <f t="shared" si="4"/>
        <v>10000</v>
      </c>
      <c r="P15" s="240">
        <f>'B2-FinPerf SC'!K16</f>
        <v>10000</v>
      </c>
      <c r="Q15" s="75">
        <f>'B2-FinPerf SC'!L16</f>
        <v>10490</v>
      </c>
      <c r="R15" s="76">
        <f>'B2-FinPerf SC'!M16</f>
        <v>11004</v>
      </c>
      <c r="S15" s="127"/>
    </row>
    <row r="16" spans="1:19" ht="12.75" customHeight="1">
      <c r="A16" s="107" t="str">
        <f>'B2-FinPerf SC'!A17</f>
        <v>Economic and environmental services</v>
      </c>
      <c r="B16" s="128"/>
      <c r="C16" s="257">
        <f t="shared" ref="C16:M16" si="6">SUM(C17:C19)</f>
        <v>6731149</v>
      </c>
      <c r="D16" s="257">
        <f t="shared" si="6"/>
        <v>28566462</v>
      </c>
      <c r="E16" s="257">
        <f t="shared" si="6"/>
        <v>6523556</v>
      </c>
      <c r="F16" s="257">
        <f t="shared" si="6"/>
        <v>4148852</v>
      </c>
      <c r="G16" s="257">
        <f t="shared" si="6"/>
        <v>35588816</v>
      </c>
      <c r="H16" s="729">
        <f t="shared" si="6"/>
        <v>3956457</v>
      </c>
      <c r="I16" s="730">
        <f t="shared" si="6"/>
        <v>6496474</v>
      </c>
      <c r="J16" s="257">
        <f t="shared" si="6"/>
        <v>4554764</v>
      </c>
      <c r="K16" s="257">
        <f t="shared" si="6"/>
        <v>24429267</v>
      </c>
      <c r="L16" s="257">
        <f t="shared" si="6"/>
        <v>2271353</v>
      </c>
      <c r="M16" s="257">
        <f t="shared" si="6"/>
        <v>3136502</v>
      </c>
      <c r="N16" s="536">
        <f t="shared" si="3"/>
        <v>20830353</v>
      </c>
      <c r="O16" s="576">
        <f t="shared" si="4"/>
        <v>147234005</v>
      </c>
      <c r="P16" s="496">
        <f>'B2-FinPerf SC'!K17</f>
        <v>147234005</v>
      </c>
      <c r="Q16" s="140">
        <f>'B2-FinPerf SC'!L17</f>
        <v>140999720</v>
      </c>
      <c r="R16" s="141">
        <f>'B2-FinPerf SC'!M17</f>
        <v>150952810</v>
      </c>
      <c r="S16" s="127"/>
    </row>
    <row r="17" spans="1:19" ht="12.75" customHeight="1">
      <c r="A17" s="108" t="str">
        <f>'B2-FinPerf SC'!A18</f>
        <v>Planning and development</v>
      </c>
      <c r="B17" s="128"/>
      <c r="C17" s="109">
        <v>2859355</v>
      </c>
      <c r="D17" s="109">
        <v>7275</v>
      </c>
      <c r="E17" s="109">
        <v>3018580</v>
      </c>
      <c r="F17" s="109">
        <v>19230</v>
      </c>
      <c r="G17" s="109">
        <v>4009200</v>
      </c>
      <c r="H17" s="399">
        <v>5900</v>
      </c>
      <c r="I17" s="400">
        <v>1572</v>
      </c>
      <c r="J17" s="109">
        <v>1929</v>
      </c>
      <c r="K17" s="109">
        <v>4845</v>
      </c>
      <c r="L17" s="109">
        <v>6718</v>
      </c>
      <c r="M17" s="109">
        <v>1097</v>
      </c>
      <c r="N17" s="528">
        <f t="shared" si="3"/>
        <v>19427954</v>
      </c>
      <c r="O17" s="561">
        <f t="shared" si="4"/>
        <v>29363655</v>
      </c>
      <c r="P17" s="240">
        <f>'B2-FinPerf SC'!K18</f>
        <v>29363655</v>
      </c>
      <c r="Q17" s="75">
        <f>'B2-FinPerf SC'!L18</f>
        <v>7038824</v>
      </c>
      <c r="R17" s="76">
        <f>'B2-FinPerf SC'!M18</f>
        <v>7565226</v>
      </c>
      <c r="S17" s="127"/>
    </row>
    <row r="18" spans="1:19" ht="12.75" customHeight="1">
      <c r="A18" s="108" t="str">
        <f>'B2-FinPerf SC'!A19</f>
        <v>Road transport</v>
      </c>
      <c r="B18" s="128"/>
      <c r="C18" s="109">
        <v>3871794</v>
      </c>
      <c r="D18" s="109">
        <v>28559187</v>
      </c>
      <c r="E18" s="109">
        <v>3504976</v>
      </c>
      <c r="F18" s="109">
        <v>4129622</v>
      </c>
      <c r="G18" s="109">
        <v>31579616</v>
      </c>
      <c r="H18" s="399">
        <v>3950557</v>
      </c>
      <c r="I18" s="400">
        <v>6494902</v>
      </c>
      <c r="J18" s="109">
        <v>4552835</v>
      </c>
      <c r="K18" s="109">
        <v>24424422</v>
      </c>
      <c r="L18" s="109">
        <v>2264635</v>
      </c>
      <c r="M18" s="109">
        <v>3135405</v>
      </c>
      <c r="N18" s="528">
        <f t="shared" si="3"/>
        <v>1402399</v>
      </c>
      <c r="O18" s="561">
        <f t="shared" si="4"/>
        <v>117870350</v>
      </c>
      <c r="P18" s="240">
        <f>'B2-FinPerf SC'!K19</f>
        <v>117870350</v>
      </c>
      <c r="Q18" s="75">
        <f>'B2-FinPerf SC'!L19</f>
        <v>133960896</v>
      </c>
      <c r="R18" s="76">
        <f>'B2-FinPerf SC'!M19</f>
        <v>143387584</v>
      </c>
      <c r="S18" s="127"/>
    </row>
    <row r="19" spans="1:19" ht="12.75" customHeight="1">
      <c r="A19" s="108" t="str">
        <f>'B2-FinPerf SC'!A20</f>
        <v>Environmental protection</v>
      </c>
      <c r="B19" s="128"/>
      <c r="C19" s="109"/>
      <c r="D19" s="109"/>
      <c r="E19" s="109"/>
      <c r="F19" s="109"/>
      <c r="G19" s="109"/>
      <c r="H19" s="399"/>
      <c r="I19" s="400"/>
      <c r="J19" s="109"/>
      <c r="K19" s="109"/>
      <c r="L19" s="109"/>
      <c r="M19" s="109"/>
      <c r="N19" s="528">
        <f t="shared" si="3"/>
        <v>0</v>
      </c>
      <c r="O19" s="561">
        <f t="shared" si="4"/>
        <v>0</v>
      </c>
      <c r="P19" s="240">
        <f>'B2-FinPerf SC'!K20</f>
        <v>0</v>
      </c>
      <c r="Q19" s="75">
        <f>'B2-FinPerf SC'!L20</f>
        <v>0</v>
      </c>
      <c r="R19" s="76">
        <f>'B2-FinPerf SC'!M20</f>
        <v>0</v>
      </c>
      <c r="S19" s="127"/>
    </row>
    <row r="20" spans="1:19" ht="12.75" customHeight="1">
      <c r="A20" s="107" t="str">
        <f>'B2-FinPerf SC'!A21</f>
        <v>Trading services</v>
      </c>
      <c r="B20" s="128"/>
      <c r="C20" s="257">
        <f>SUM(C21:C24)</f>
        <v>32301667</v>
      </c>
      <c r="D20" s="257">
        <f t="shared" ref="D20:M20" si="7">SUM(D21:D24)</f>
        <v>36853664</v>
      </c>
      <c r="E20" s="257">
        <f t="shared" si="7"/>
        <v>38049999</v>
      </c>
      <c r="F20" s="257">
        <f t="shared" si="7"/>
        <v>34049199</v>
      </c>
      <c r="G20" s="257">
        <f t="shared" si="7"/>
        <v>31031374</v>
      </c>
      <c r="H20" s="729">
        <f t="shared" si="7"/>
        <v>28204984</v>
      </c>
      <c r="I20" s="730">
        <f t="shared" si="7"/>
        <v>32909396</v>
      </c>
      <c r="J20" s="257">
        <f t="shared" si="7"/>
        <v>31637502</v>
      </c>
      <c r="K20" s="257">
        <f t="shared" si="7"/>
        <v>36825202</v>
      </c>
      <c r="L20" s="257">
        <f t="shared" si="7"/>
        <v>30312409</v>
      </c>
      <c r="M20" s="257">
        <f t="shared" si="7"/>
        <v>30798343</v>
      </c>
      <c r="N20" s="536">
        <f>P20-SUM(C20:M20)</f>
        <v>74758916</v>
      </c>
      <c r="O20" s="576">
        <f t="shared" si="4"/>
        <v>437732655</v>
      </c>
      <c r="P20" s="496">
        <f>'B2-FinPerf SC'!K21</f>
        <v>437732655</v>
      </c>
      <c r="Q20" s="140">
        <f>'B2-FinPerf SC'!L21</f>
        <v>459064765</v>
      </c>
      <c r="R20" s="141">
        <f>'B2-FinPerf SC'!M21</f>
        <v>480088939</v>
      </c>
      <c r="S20" s="127"/>
    </row>
    <row r="21" spans="1:19" ht="12.75" customHeight="1">
      <c r="A21" s="108" t="str">
        <f>'B2-FinPerf SC'!A22</f>
        <v>Electricity</v>
      </c>
      <c r="B21" s="128"/>
      <c r="C21" s="109">
        <v>30457919</v>
      </c>
      <c r="D21" s="109">
        <v>34109469</v>
      </c>
      <c r="E21" s="109">
        <v>36002239</v>
      </c>
      <c r="F21" s="109">
        <v>32130299</v>
      </c>
      <c r="G21" s="109">
        <v>28682609</v>
      </c>
      <c r="H21" s="399">
        <v>26213921</v>
      </c>
      <c r="I21" s="400">
        <v>31237694</v>
      </c>
      <c r="J21" s="109">
        <v>29194343</v>
      </c>
      <c r="K21" s="109">
        <v>26489635</v>
      </c>
      <c r="L21" s="109">
        <v>28479920</v>
      </c>
      <c r="M21" s="109">
        <v>29039786</v>
      </c>
      <c r="N21" s="528">
        <f t="shared" si="3"/>
        <v>74486650</v>
      </c>
      <c r="O21" s="561">
        <f t="shared" si="4"/>
        <v>406524484</v>
      </c>
      <c r="P21" s="240">
        <f>'B2-FinPerf SC'!K22</f>
        <v>406524484</v>
      </c>
      <c r="Q21" s="75">
        <f>'B2-FinPerf SC'!L22</f>
        <v>428121184</v>
      </c>
      <c r="R21" s="76">
        <f>'B2-FinPerf SC'!M22</f>
        <v>447629122</v>
      </c>
      <c r="S21" s="127"/>
    </row>
    <row r="22" spans="1:19" ht="12.75" customHeight="1">
      <c r="A22" s="108" t="str">
        <f>'B2-FinPerf SC'!A23</f>
        <v>Water</v>
      </c>
      <c r="B22" s="128"/>
      <c r="C22" s="109"/>
      <c r="D22" s="109"/>
      <c r="E22" s="109"/>
      <c r="F22" s="109"/>
      <c r="G22" s="109"/>
      <c r="H22" s="399"/>
      <c r="I22" s="400"/>
      <c r="J22" s="109"/>
      <c r="K22" s="109"/>
      <c r="L22" s="109"/>
      <c r="M22" s="109"/>
      <c r="N22" s="528">
        <f t="shared" si="3"/>
        <v>0</v>
      </c>
      <c r="O22" s="561">
        <f t="shared" si="4"/>
        <v>0</v>
      </c>
      <c r="P22" s="240">
        <f>'B2-FinPerf SC'!K23</f>
        <v>0</v>
      </c>
      <c r="Q22" s="75">
        <f>'B2-FinPerf SC'!L23</f>
        <v>0</v>
      </c>
      <c r="R22" s="76">
        <f>'B2-FinPerf SC'!M23</f>
        <v>0</v>
      </c>
      <c r="S22" s="127"/>
    </row>
    <row r="23" spans="1:19" ht="12.75" customHeight="1">
      <c r="A23" s="108" t="str">
        <f>'B2-FinPerf SC'!A24</f>
        <v>Waste water management</v>
      </c>
      <c r="B23" s="128"/>
      <c r="C23" s="111"/>
      <c r="D23" s="111"/>
      <c r="E23" s="111"/>
      <c r="F23" s="111"/>
      <c r="G23" s="111"/>
      <c r="H23" s="577"/>
      <c r="I23" s="578"/>
      <c r="J23" s="111"/>
      <c r="K23" s="111"/>
      <c r="L23" s="111"/>
      <c r="M23" s="111"/>
      <c r="N23" s="528">
        <f t="shared" si="3"/>
        <v>0</v>
      </c>
      <c r="O23" s="561">
        <f t="shared" si="4"/>
        <v>0</v>
      </c>
      <c r="P23" s="240">
        <f>'B2-FinPerf SC'!K24</f>
        <v>0</v>
      </c>
      <c r="Q23" s="75">
        <f>'B2-FinPerf SC'!L24</f>
        <v>0</v>
      </c>
      <c r="R23" s="76">
        <f>'B2-FinPerf SC'!M24</f>
        <v>0</v>
      </c>
      <c r="S23" s="127"/>
    </row>
    <row r="24" spans="1:19" ht="12.75" customHeight="1">
      <c r="A24" s="108" t="str">
        <f>'B2-FinPerf SC'!A25</f>
        <v>Waste management</v>
      </c>
      <c r="B24" s="128"/>
      <c r="C24" s="109">
        <v>1843748</v>
      </c>
      <c r="D24" s="109">
        <v>2744195</v>
      </c>
      <c r="E24" s="109">
        <v>2047760</v>
      </c>
      <c r="F24" s="109">
        <v>1918900</v>
      </c>
      <c r="G24" s="109">
        <v>2348765</v>
      </c>
      <c r="H24" s="399">
        <v>1991063</v>
      </c>
      <c r="I24" s="400">
        <v>1671702</v>
      </c>
      <c r="J24" s="109">
        <v>2443159</v>
      </c>
      <c r="K24" s="109">
        <v>10335567</v>
      </c>
      <c r="L24" s="109">
        <v>1832489</v>
      </c>
      <c r="M24" s="109">
        <v>1758557</v>
      </c>
      <c r="N24" s="528">
        <f t="shared" si="3"/>
        <v>272266</v>
      </c>
      <c r="O24" s="561">
        <f t="shared" si="4"/>
        <v>31208171</v>
      </c>
      <c r="P24" s="240">
        <f>'B2-FinPerf SC'!K25</f>
        <v>31208171</v>
      </c>
      <c r="Q24" s="75">
        <f>'B2-FinPerf SC'!L25</f>
        <v>30943581</v>
      </c>
      <c r="R24" s="76">
        <f>'B2-FinPerf SC'!M25</f>
        <v>32459817</v>
      </c>
      <c r="S24" s="127"/>
    </row>
    <row r="25" spans="1:19" ht="12.75" customHeight="1">
      <c r="A25" s="107" t="str">
        <f>'B2-FinPerf SC'!A26</f>
        <v>Other</v>
      </c>
      <c r="B25" s="128"/>
      <c r="C25" s="840"/>
      <c r="D25" s="840"/>
      <c r="E25" s="840"/>
      <c r="F25" s="840"/>
      <c r="G25" s="840"/>
      <c r="H25" s="924"/>
      <c r="I25" s="925"/>
      <c r="J25" s="840"/>
      <c r="K25" s="840"/>
      <c r="L25" s="840"/>
      <c r="M25" s="840"/>
      <c r="N25" s="536">
        <f t="shared" si="3"/>
        <v>0</v>
      </c>
      <c r="O25" s="576">
        <f t="shared" si="4"/>
        <v>0</v>
      </c>
      <c r="P25" s="496">
        <f>'B2-FinPerf SC'!K26</f>
        <v>0</v>
      </c>
      <c r="Q25" s="140">
        <f>'B2-FinPerf SC'!L26</f>
        <v>0</v>
      </c>
      <c r="R25" s="141">
        <f>'B2-FinPerf SC'!M26</f>
        <v>0</v>
      </c>
      <c r="S25" s="127"/>
    </row>
    <row r="26" spans="1:19" ht="12.75" customHeight="1">
      <c r="A26" s="162" t="s">
        <v>674</v>
      </c>
      <c r="B26" s="162"/>
      <c r="C26" s="113">
        <f>C6+C10+C16+C20+C25</f>
        <v>137710639</v>
      </c>
      <c r="D26" s="113">
        <f>D6+D10+D16+D20+D25</f>
        <v>74311999</v>
      </c>
      <c r="E26" s="706">
        <f>E6+E10+E16+E20+E25</f>
        <v>53737509</v>
      </c>
      <c r="F26" s="706">
        <f t="shared" ref="F26:R26" si="8">F6+F10+F16+F20+F25</f>
        <v>47138800</v>
      </c>
      <c r="G26" s="706">
        <f t="shared" si="8"/>
        <v>75183275</v>
      </c>
      <c r="H26" s="710">
        <f t="shared" si="8"/>
        <v>93748767</v>
      </c>
      <c r="I26" s="703">
        <f t="shared" si="8"/>
        <v>46556093</v>
      </c>
      <c r="J26" s="706">
        <f t="shared" si="8"/>
        <v>42765171</v>
      </c>
      <c r="K26" s="706">
        <f t="shared" si="8"/>
        <v>112305733</v>
      </c>
      <c r="L26" s="706">
        <f t="shared" si="8"/>
        <v>39812129</v>
      </c>
      <c r="M26" s="706">
        <f t="shared" si="8"/>
        <v>40731651</v>
      </c>
      <c r="N26" s="711">
        <f t="shared" si="8"/>
        <v>146156210</v>
      </c>
      <c r="O26" s="712">
        <f t="shared" si="8"/>
        <v>910157976</v>
      </c>
      <c r="P26" s="703">
        <f t="shared" si="8"/>
        <v>910157976</v>
      </c>
      <c r="Q26" s="704">
        <f t="shared" si="8"/>
        <v>920188531</v>
      </c>
      <c r="R26" s="705">
        <f t="shared" si="8"/>
        <v>1009176795</v>
      </c>
      <c r="S26" s="127"/>
    </row>
    <row r="27" spans="1:19" ht="5.0999999999999996" customHeight="1">
      <c r="A27" s="83"/>
      <c r="B27" s="128"/>
      <c r="C27" s="240"/>
      <c r="D27" s="75"/>
      <c r="E27" s="75"/>
      <c r="F27" s="75"/>
      <c r="G27" s="75"/>
      <c r="H27" s="528"/>
      <c r="I27" s="240"/>
      <c r="J27" s="75"/>
      <c r="K27" s="75"/>
      <c r="L27" s="75"/>
      <c r="M27" s="75"/>
      <c r="N27" s="528"/>
      <c r="O27" s="561"/>
      <c r="P27" s="240"/>
      <c r="Q27" s="75"/>
      <c r="R27" s="76"/>
      <c r="S27" s="127"/>
    </row>
    <row r="28" spans="1:19" ht="12.75" customHeight="1">
      <c r="A28" s="72" t="s">
        <v>675</v>
      </c>
      <c r="B28" s="128"/>
      <c r="C28" s="240"/>
      <c r="D28" s="75"/>
      <c r="E28" s="75"/>
      <c r="F28" s="75"/>
      <c r="G28" s="75"/>
      <c r="H28" s="528"/>
      <c r="I28" s="240"/>
      <c r="J28" s="75"/>
      <c r="K28" s="75"/>
      <c r="L28" s="75"/>
      <c r="M28" s="75"/>
      <c r="N28" s="528"/>
      <c r="O28" s="561"/>
      <c r="P28" s="240"/>
      <c r="Q28" s="75"/>
      <c r="R28" s="76"/>
      <c r="S28" s="127"/>
    </row>
    <row r="29" spans="1:19" ht="12.75" customHeight="1">
      <c r="A29" s="107" t="str">
        <f t="shared" ref="A29:A48" si="9">A6</f>
        <v>Governance and administration</v>
      </c>
      <c r="B29" s="128"/>
      <c r="C29" s="257">
        <f t="shared" ref="C29:M29" si="10">SUM(C30:C32)</f>
        <v>18057061</v>
      </c>
      <c r="D29" s="257">
        <f t="shared" si="10"/>
        <v>10298387</v>
      </c>
      <c r="E29" s="257">
        <f t="shared" si="10"/>
        <v>9820848</v>
      </c>
      <c r="F29" s="257">
        <f t="shared" si="10"/>
        <v>10304422</v>
      </c>
      <c r="G29" s="257">
        <f t="shared" si="10"/>
        <v>11371157</v>
      </c>
      <c r="H29" s="729">
        <f t="shared" si="10"/>
        <v>13497892</v>
      </c>
      <c r="I29" s="730">
        <f t="shared" si="10"/>
        <v>13193293</v>
      </c>
      <c r="J29" s="257">
        <f t="shared" si="10"/>
        <v>11284180</v>
      </c>
      <c r="K29" s="257">
        <f t="shared" si="10"/>
        <v>12703904</v>
      </c>
      <c r="L29" s="257">
        <f t="shared" si="10"/>
        <v>9747355</v>
      </c>
      <c r="M29" s="257">
        <f t="shared" si="10"/>
        <v>9522234</v>
      </c>
      <c r="N29" s="536">
        <f t="shared" ref="N29:N48" si="11">P29-SUM(C29:M29)</f>
        <v>26603504</v>
      </c>
      <c r="O29" s="576">
        <f t="shared" ref="O29:O37" si="12">SUM(C29:N29)</f>
        <v>156404237</v>
      </c>
      <c r="P29" s="496">
        <f>'B2-FinPerf SC'!K30</f>
        <v>156404237</v>
      </c>
      <c r="Q29" s="140">
        <f>'B2-FinPerf SC'!L30</f>
        <v>156337939</v>
      </c>
      <c r="R29" s="141">
        <f>'B2-FinPerf SC'!M30</f>
        <v>163612404</v>
      </c>
      <c r="S29" s="127"/>
    </row>
    <row r="30" spans="1:19" ht="12.75" customHeight="1">
      <c r="A30" s="108" t="str">
        <f t="shared" si="9"/>
        <v>Executive and council</v>
      </c>
      <c r="B30" s="128"/>
      <c r="C30" s="109">
        <v>4312379</v>
      </c>
      <c r="D30" s="109">
        <v>2510637</v>
      </c>
      <c r="E30" s="109">
        <v>2264713</v>
      </c>
      <c r="F30" s="109">
        <v>2288457</v>
      </c>
      <c r="G30" s="109">
        <v>2556139</v>
      </c>
      <c r="H30" s="399">
        <v>2208927</v>
      </c>
      <c r="I30" s="400">
        <v>3119362</v>
      </c>
      <c r="J30" s="109">
        <v>2165495</v>
      </c>
      <c r="K30" s="109">
        <v>3427416</v>
      </c>
      <c r="L30" s="109">
        <v>2788099</v>
      </c>
      <c r="M30" s="109">
        <v>2467359</v>
      </c>
      <c r="N30" s="528">
        <f t="shared" si="11"/>
        <v>2334599</v>
      </c>
      <c r="O30" s="561">
        <f t="shared" si="12"/>
        <v>32443582</v>
      </c>
      <c r="P30" s="240">
        <f>'B2-FinPerf SC'!K31</f>
        <v>32443582</v>
      </c>
      <c r="Q30" s="75">
        <f>'B2-FinPerf SC'!L31</f>
        <v>33680640</v>
      </c>
      <c r="R30" s="76">
        <f>'B2-FinPerf SC'!M31</f>
        <v>35286110</v>
      </c>
      <c r="S30" s="127"/>
    </row>
    <row r="31" spans="1:19" ht="12.75" customHeight="1">
      <c r="A31" s="108" t="str">
        <f t="shared" si="9"/>
        <v>Budget and treasury office</v>
      </c>
      <c r="B31" s="128"/>
      <c r="C31" s="111">
        <v>5245431</v>
      </c>
      <c r="D31" s="111">
        <v>3008643</v>
      </c>
      <c r="E31" s="111">
        <v>3617724</v>
      </c>
      <c r="F31" s="111">
        <v>4801948</v>
      </c>
      <c r="G31" s="111">
        <v>4109275</v>
      </c>
      <c r="H31" s="577">
        <v>4270469</v>
      </c>
      <c r="I31" s="578">
        <v>3973268</v>
      </c>
      <c r="J31" s="111">
        <v>3966388</v>
      </c>
      <c r="K31" s="111">
        <v>3721516</v>
      </c>
      <c r="L31" s="111">
        <v>5326042</v>
      </c>
      <c r="M31" s="111">
        <v>3682787</v>
      </c>
      <c r="N31" s="528">
        <f t="shared" si="11"/>
        <v>14365208</v>
      </c>
      <c r="O31" s="561">
        <f t="shared" si="12"/>
        <v>60088699</v>
      </c>
      <c r="P31" s="240">
        <f>'B2-FinPerf SC'!K32</f>
        <v>60088699</v>
      </c>
      <c r="Q31" s="75">
        <f>'B2-FinPerf SC'!L32</f>
        <v>63142567</v>
      </c>
      <c r="R31" s="76">
        <f>'B2-FinPerf SC'!M32</f>
        <v>66150506</v>
      </c>
      <c r="S31" s="127"/>
    </row>
    <row r="32" spans="1:19" ht="12.75" customHeight="1">
      <c r="A32" s="108" t="str">
        <f t="shared" si="9"/>
        <v>Corporate services</v>
      </c>
      <c r="B32" s="128"/>
      <c r="C32" s="109">
        <v>8499251</v>
      </c>
      <c r="D32" s="109">
        <v>4779107</v>
      </c>
      <c r="E32" s="109">
        <v>3938411</v>
      </c>
      <c r="F32" s="109">
        <v>3214017</v>
      </c>
      <c r="G32" s="109">
        <v>4705743</v>
      </c>
      <c r="H32" s="399">
        <v>7018496</v>
      </c>
      <c r="I32" s="400">
        <v>6100663</v>
      </c>
      <c r="J32" s="109">
        <v>5152297</v>
      </c>
      <c r="K32" s="109">
        <v>5554972</v>
      </c>
      <c r="L32" s="109">
        <v>1633214</v>
      </c>
      <c r="M32" s="109">
        <v>3372088</v>
      </c>
      <c r="N32" s="528">
        <f t="shared" si="11"/>
        <v>9903697</v>
      </c>
      <c r="O32" s="561">
        <f t="shared" si="12"/>
        <v>63871956</v>
      </c>
      <c r="P32" s="240">
        <f>'B2-FinPerf SC'!K33</f>
        <v>63871956</v>
      </c>
      <c r="Q32" s="75">
        <f>'B2-FinPerf SC'!L33</f>
        <v>59514732</v>
      </c>
      <c r="R32" s="76">
        <f>'B2-FinPerf SC'!M33</f>
        <v>62175788</v>
      </c>
      <c r="S32" s="127"/>
    </row>
    <row r="33" spans="1:19" ht="12.75" customHeight="1">
      <c r="A33" s="107" t="str">
        <f t="shared" si="9"/>
        <v>Community and public safety</v>
      </c>
      <c r="B33" s="128"/>
      <c r="C33" s="257">
        <f t="shared" ref="C33:M33" si="13">SUM(C34:C38)</f>
        <v>6460667</v>
      </c>
      <c r="D33" s="257">
        <f t="shared" si="13"/>
        <v>5460069</v>
      </c>
      <c r="E33" s="257">
        <f t="shared" si="13"/>
        <v>7180387</v>
      </c>
      <c r="F33" s="257">
        <f t="shared" si="13"/>
        <v>6135725</v>
      </c>
      <c r="G33" s="257">
        <f t="shared" si="13"/>
        <v>6052232</v>
      </c>
      <c r="H33" s="729">
        <f t="shared" si="13"/>
        <v>6412073</v>
      </c>
      <c r="I33" s="730">
        <f t="shared" si="13"/>
        <v>6582122</v>
      </c>
      <c r="J33" s="257">
        <f t="shared" si="13"/>
        <v>5877386</v>
      </c>
      <c r="K33" s="257">
        <f t="shared" si="13"/>
        <v>5908804</v>
      </c>
      <c r="L33" s="257">
        <f t="shared" si="13"/>
        <v>6316963</v>
      </c>
      <c r="M33" s="257">
        <f t="shared" si="13"/>
        <v>6230347</v>
      </c>
      <c r="N33" s="536">
        <f t="shared" si="11"/>
        <v>9807292</v>
      </c>
      <c r="O33" s="576">
        <f t="shared" si="12"/>
        <v>78424067</v>
      </c>
      <c r="P33" s="496">
        <f>'B2-FinPerf SC'!K34</f>
        <v>78424067</v>
      </c>
      <c r="Q33" s="140">
        <f>'B2-FinPerf SC'!L34</f>
        <v>82338671</v>
      </c>
      <c r="R33" s="141">
        <f>'B2-FinPerf SC'!M34</f>
        <v>86705345</v>
      </c>
      <c r="S33" s="127"/>
    </row>
    <row r="34" spans="1:19" ht="12.75" customHeight="1">
      <c r="A34" s="108" t="str">
        <f t="shared" si="9"/>
        <v>Community and social services</v>
      </c>
      <c r="B34" s="128"/>
      <c r="C34" s="109">
        <v>563335</v>
      </c>
      <c r="D34" s="109">
        <v>487440</v>
      </c>
      <c r="E34" s="109">
        <v>424133</v>
      </c>
      <c r="F34" s="109">
        <v>417301</v>
      </c>
      <c r="G34" s="109">
        <v>424866</v>
      </c>
      <c r="H34" s="399">
        <v>416478</v>
      </c>
      <c r="I34" s="400">
        <v>489441</v>
      </c>
      <c r="J34" s="109">
        <v>434939</v>
      </c>
      <c r="K34" s="109">
        <v>438701</v>
      </c>
      <c r="L34" s="109">
        <v>423639</v>
      </c>
      <c r="M34" s="109">
        <v>376249</v>
      </c>
      <c r="N34" s="528">
        <f t="shared" si="11"/>
        <v>223529</v>
      </c>
      <c r="O34" s="561">
        <f t="shared" si="12"/>
        <v>5120051</v>
      </c>
      <c r="P34" s="240">
        <f>'B2-FinPerf SC'!K35</f>
        <v>5120051</v>
      </c>
      <c r="Q34" s="75">
        <f>'B2-FinPerf SC'!L35</f>
        <v>5376013</v>
      </c>
      <c r="R34" s="76">
        <f>'B2-FinPerf SC'!M35</f>
        <v>5639437</v>
      </c>
      <c r="S34" s="127"/>
    </row>
    <row r="35" spans="1:19" ht="12.75" customHeight="1">
      <c r="A35" s="108" t="str">
        <f t="shared" si="9"/>
        <v>Sport and recreation</v>
      </c>
      <c r="B35" s="128"/>
      <c r="C35" s="109">
        <v>1824011</v>
      </c>
      <c r="D35" s="109">
        <v>1646003</v>
      </c>
      <c r="E35" s="109">
        <v>1752577</v>
      </c>
      <c r="F35" s="109">
        <v>1734745</v>
      </c>
      <c r="G35" s="109">
        <v>1611451</v>
      </c>
      <c r="H35" s="399">
        <v>1588347</v>
      </c>
      <c r="I35" s="400">
        <v>1868718</v>
      </c>
      <c r="J35" s="109">
        <v>1612911</v>
      </c>
      <c r="K35" s="109">
        <v>1588871</v>
      </c>
      <c r="L35" s="109">
        <v>2018840</v>
      </c>
      <c r="M35" s="109">
        <v>1796793</v>
      </c>
      <c r="N35" s="528">
        <f t="shared" si="11"/>
        <v>4612708</v>
      </c>
      <c r="O35" s="561">
        <f t="shared" si="12"/>
        <v>23655975</v>
      </c>
      <c r="P35" s="240">
        <f>'B2-FinPerf SC'!K36</f>
        <v>23655975</v>
      </c>
      <c r="Q35" s="75">
        <f>'B2-FinPerf SC'!L36</f>
        <v>24816123</v>
      </c>
      <c r="R35" s="76">
        <f>'B2-FinPerf SC'!M36</f>
        <v>26032113</v>
      </c>
      <c r="S35" s="127"/>
    </row>
    <row r="36" spans="1:19" ht="12.75" customHeight="1">
      <c r="A36" s="108" t="str">
        <f t="shared" si="9"/>
        <v>Public safety</v>
      </c>
      <c r="B36" s="128"/>
      <c r="C36" s="109">
        <v>2340807</v>
      </c>
      <c r="D36" s="109">
        <v>1659860</v>
      </c>
      <c r="E36" s="109">
        <v>3384286</v>
      </c>
      <c r="F36" s="109">
        <v>2314120</v>
      </c>
      <c r="G36" s="109">
        <v>2443668</v>
      </c>
      <c r="H36" s="399">
        <v>2584850</v>
      </c>
      <c r="I36" s="400">
        <v>2295957</v>
      </c>
      <c r="J36" s="109">
        <v>2232060</v>
      </c>
      <c r="K36" s="109">
        <v>2182693</v>
      </c>
      <c r="L36" s="109">
        <v>2186478</v>
      </c>
      <c r="M36" s="109">
        <v>2321247</v>
      </c>
      <c r="N36" s="528">
        <f t="shared" si="11"/>
        <v>1417286</v>
      </c>
      <c r="O36" s="561">
        <f t="shared" si="12"/>
        <v>27363312</v>
      </c>
      <c r="P36" s="240">
        <f>'B2-FinPerf SC'!K37</f>
        <v>27363312</v>
      </c>
      <c r="Q36" s="75">
        <f>'B2-FinPerf SC'!L37</f>
        <v>28714936</v>
      </c>
      <c r="R36" s="76">
        <f>'B2-FinPerf SC'!M37</f>
        <v>30121968</v>
      </c>
      <c r="S36" s="127"/>
    </row>
    <row r="37" spans="1:19" ht="12.75" customHeight="1">
      <c r="A37" s="108" t="str">
        <f t="shared" si="9"/>
        <v>Housing</v>
      </c>
      <c r="B37" s="128"/>
      <c r="C37" s="109">
        <v>1102354</v>
      </c>
      <c r="D37" s="109">
        <v>1128596</v>
      </c>
      <c r="E37" s="109">
        <v>1105567</v>
      </c>
      <c r="F37" s="109">
        <v>1202872</v>
      </c>
      <c r="G37" s="109">
        <v>1017243</v>
      </c>
      <c r="H37" s="399">
        <v>1319946</v>
      </c>
      <c r="I37" s="400">
        <v>1297961</v>
      </c>
      <c r="J37" s="109">
        <v>1038078</v>
      </c>
      <c r="K37" s="109">
        <v>1159151</v>
      </c>
      <c r="L37" s="109">
        <v>1132681</v>
      </c>
      <c r="M37" s="109">
        <v>1116157</v>
      </c>
      <c r="N37" s="528">
        <f t="shared" si="11"/>
        <v>2805543</v>
      </c>
      <c r="O37" s="561">
        <f t="shared" si="12"/>
        <v>15426149</v>
      </c>
      <c r="P37" s="240">
        <f>'B2-FinPerf SC'!K38</f>
        <v>15426149</v>
      </c>
      <c r="Q37" s="75">
        <f>'B2-FinPerf SC'!L38</f>
        <v>16236486</v>
      </c>
      <c r="R37" s="76">
        <f>'B2-FinPerf SC'!M38</f>
        <v>17364153</v>
      </c>
      <c r="S37" s="127"/>
    </row>
    <row r="38" spans="1:19" ht="12.75" customHeight="1">
      <c r="A38" s="108" t="str">
        <f t="shared" si="9"/>
        <v>Health</v>
      </c>
      <c r="B38" s="128"/>
      <c r="C38" s="111">
        <v>630160</v>
      </c>
      <c r="D38" s="111">
        <v>538170</v>
      </c>
      <c r="E38" s="111">
        <v>513824</v>
      </c>
      <c r="F38" s="111">
        <v>466687</v>
      </c>
      <c r="G38" s="111">
        <v>555004</v>
      </c>
      <c r="H38" s="577">
        <v>502452</v>
      </c>
      <c r="I38" s="578">
        <v>630045</v>
      </c>
      <c r="J38" s="111">
        <v>559398</v>
      </c>
      <c r="K38" s="111">
        <v>539388</v>
      </c>
      <c r="L38" s="111">
        <v>555325</v>
      </c>
      <c r="M38" s="111">
        <v>619901</v>
      </c>
      <c r="N38" s="528">
        <f t="shared" si="11"/>
        <v>748226</v>
      </c>
      <c r="O38" s="561"/>
      <c r="P38" s="240">
        <f>'B2-FinPerf SC'!K39</f>
        <v>6858580</v>
      </c>
      <c r="Q38" s="75">
        <f>'B2-FinPerf SC'!L39</f>
        <v>7195113</v>
      </c>
      <c r="R38" s="76">
        <f>'B2-FinPerf SC'!M39</f>
        <v>7547674</v>
      </c>
      <c r="S38" s="127"/>
    </row>
    <row r="39" spans="1:19" ht="12.75" customHeight="1">
      <c r="A39" s="107" t="str">
        <f t="shared" si="9"/>
        <v>Economic and environmental services</v>
      </c>
      <c r="B39" s="128"/>
      <c r="C39" s="257">
        <f t="shared" ref="C39:M39" si="14">SUM(C40:C42)</f>
        <v>9653571</v>
      </c>
      <c r="D39" s="257">
        <f t="shared" si="14"/>
        <v>13843843</v>
      </c>
      <c r="E39" s="257">
        <f t="shared" si="14"/>
        <v>14583827</v>
      </c>
      <c r="F39" s="257">
        <f t="shared" si="14"/>
        <v>14772512</v>
      </c>
      <c r="G39" s="257">
        <f t="shared" si="14"/>
        <v>14888370</v>
      </c>
      <c r="H39" s="729">
        <f t="shared" si="14"/>
        <v>13628020</v>
      </c>
      <c r="I39" s="730">
        <f t="shared" si="14"/>
        <v>11170288</v>
      </c>
      <c r="J39" s="257">
        <f t="shared" si="14"/>
        <v>11296283</v>
      </c>
      <c r="K39" s="257">
        <f t="shared" si="14"/>
        <v>12364456</v>
      </c>
      <c r="L39" s="257">
        <f t="shared" si="14"/>
        <v>12784162</v>
      </c>
      <c r="M39" s="257">
        <f t="shared" si="14"/>
        <v>11858288</v>
      </c>
      <c r="N39" s="536">
        <f t="shared" si="11"/>
        <v>7327151</v>
      </c>
      <c r="O39" s="576"/>
      <c r="P39" s="496">
        <f>'B2-FinPerf SC'!K40</f>
        <v>148170771</v>
      </c>
      <c r="Q39" s="140">
        <f>'B2-FinPerf SC'!L40</f>
        <v>161388192</v>
      </c>
      <c r="R39" s="141">
        <f>'B2-FinPerf SC'!M40</f>
        <v>168908092</v>
      </c>
      <c r="S39" s="127"/>
    </row>
    <row r="40" spans="1:19" ht="12.75" customHeight="1">
      <c r="A40" s="108" t="str">
        <f t="shared" si="9"/>
        <v>Planning and development</v>
      </c>
      <c r="B40" s="128"/>
      <c r="C40" s="109">
        <v>2205963</v>
      </c>
      <c r="D40" s="109">
        <v>2813700</v>
      </c>
      <c r="E40" s="109">
        <v>1283428</v>
      </c>
      <c r="F40" s="109">
        <v>2714860</v>
      </c>
      <c r="G40" s="109">
        <v>3005443</v>
      </c>
      <c r="H40" s="399">
        <v>2141704</v>
      </c>
      <c r="I40" s="400">
        <v>780770</v>
      </c>
      <c r="J40" s="109">
        <v>722409</v>
      </c>
      <c r="K40" s="109">
        <v>2778286</v>
      </c>
      <c r="L40" s="109">
        <v>769573</v>
      </c>
      <c r="M40" s="109">
        <v>1025036</v>
      </c>
      <c r="N40" s="528">
        <f t="shared" si="11"/>
        <v>-1161272</v>
      </c>
      <c r="O40" s="561"/>
      <c r="P40" s="240">
        <f>'B2-FinPerf SC'!K41</f>
        <v>19079900</v>
      </c>
      <c r="Q40" s="75">
        <f>'B2-FinPerf SC'!L41</f>
        <v>21354726</v>
      </c>
      <c r="R40" s="76">
        <f>'B2-FinPerf SC'!M41</f>
        <v>23194319</v>
      </c>
      <c r="S40" s="127"/>
    </row>
    <row r="41" spans="1:19" ht="12.75" customHeight="1">
      <c r="A41" s="108" t="str">
        <f t="shared" si="9"/>
        <v>Road transport</v>
      </c>
      <c r="B41" s="128"/>
      <c r="C41" s="109">
        <v>7447608</v>
      </c>
      <c r="D41" s="109">
        <v>11030143</v>
      </c>
      <c r="E41" s="109">
        <v>13300399</v>
      </c>
      <c r="F41" s="109">
        <v>12057652</v>
      </c>
      <c r="G41" s="109">
        <v>11882927</v>
      </c>
      <c r="H41" s="399">
        <v>11486316</v>
      </c>
      <c r="I41" s="400">
        <v>10389518</v>
      </c>
      <c r="J41" s="109">
        <v>10573874</v>
      </c>
      <c r="K41" s="109">
        <v>9586170</v>
      </c>
      <c r="L41" s="109">
        <v>12014589</v>
      </c>
      <c r="M41" s="109">
        <v>10833252</v>
      </c>
      <c r="N41" s="528">
        <f t="shared" si="11"/>
        <v>8488423</v>
      </c>
      <c r="O41" s="561"/>
      <c r="P41" s="240">
        <f>'B2-FinPerf SC'!K42</f>
        <v>129090871</v>
      </c>
      <c r="Q41" s="75">
        <f>'B2-FinPerf SC'!L42</f>
        <v>140033466</v>
      </c>
      <c r="R41" s="76">
        <f>'B2-FinPerf SC'!M42</f>
        <v>145713773</v>
      </c>
      <c r="S41" s="127"/>
    </row>
    <row r="42" spans="1:19" ht="12.75" customHeight="1">
      <c r="A42" s="108" t="str">
        <f t="shared" si="9"/>
        <v>Environmental protection</v>
      </c>
      <c r="B42" s="128"/>
      <c r="C42" s="109"/>
      <c r="D42" s="109"/>
      <c r="E42" s="109"/>
      <c r="F42" s="109"/>
      <c r="G42" s="109"/>
      <c r="H42" s="399"/>
      <c r="I42" s="400"/>
      <c r="J42" s="109"/>
      <c r="K42" s="109"/>
      <c r="L42" s="109"/>
      <c r="M42" s="109"/>
      <c r="N42" s="528">
        <f t="shared" si="11"/>
        <v>0</v>
      </c>
      <c r="O42" s="561"/>
      <c r="P42" s="240">
        <f>'B2-FinPerf SC'!K43</f>
        <v>0</v>
      </c>
      <c r="Q42" s="75">
        <f>'B2-FinPerf SC'!L43</f>
        <v>0</v>
      </c>
      <c r="R42" s="76">
        <f>'B2-FinPerf SC'!M43</f>
        <v>0</v>
      </c>
      <c r="S42" s="127"/>
    </row>
    <row r="43" spans="1:19" ht="12.75" customHeight="1">
      <c r="A43" s="107" t="str">
        <f t="shared" si="9"/>
        <v>Trading services</v>
      </c>
      <c r="B43" s="128"/>
      <c r="C43" s="257">
        <f>SUM(C44:C47)</f>
        <v>9090058</v>
      </c>
      <c r="D43" s="257">
        <f t="shared" ref="D43:M43" si="15">SUM(D44:D47)</f>
        <v>43357134</v>
      </c>
      <c r="E43" s="257">
        <f t="shared" si="15"/>
        <v>43015070</v>
      </c>
      <c r="F43" s="257">
        <f t="shared" si="15"/>
        <v>29899559</v>
      </c>
      <c r="G43" s="257">
        <f t="shared" si="15"/>
        <v>29930957</v>
      </c>
      <c r="H43" s="729">
        <f t="shared" si="15"/>
        <v>31325580</v>
      </c>
      <c r="I43" s="730">
        <f t="shared" si="15"/>
        <v>24384117</v>
      </c>
      <c r="J43" s="257">
        <f t="shared" si="15"/>
        <v>33953126</v>
      </c>
      <c r="K43" s="257">
        <f t="shared" si="15"/>
        <v>26772963</v>
      </c>
      <c r="L43" s="257">
        <f t="shared" si="15"/>
        <v>33482940</v>
      </c>
      <c r="M43" s="257">
        <f t="shared" si="15"/>
        <v>29178287</v>
      </c>
      <c r="N43" s="536">
        <f>P43-SUM(C43:M43)</f>
        <v>82135853</v>
      </c>
      <c r="O43" s="576">
        <f>SUM(C43:N43)</f>
        <v>416525644</v>
      </c>
      <c r="P43" s="496">
        <f>'B2-FinPerf SC'!K44</f>
        <v>416525644</v>
      </c>
      <c r="Q43" s="140">
        <f>'B2-FinPerf SC'!L44</f>
        <v>439349621</v>
      </c>
      <c r="R43" s="141">
        <f>'B2-FinPerf SC'!M44</f>
        <v>462432739</v>
      </c>
      <c r="S43" s="127"/>
    </row>
    <row r="44" spans="1:19" ht="12.75" customHeight="1">
      <c r="A44" s="108" t="str">
        <f t="shared" si="9"/>
        <v>Electricity</v>
      </c>
      <c r="B44" s="128"/>
      <c r="C44" s="109">
        <v>6563428</v>
      </c>
      <c r="D44" s="109">
        <v>39182386</v>
      </c>
      <c r="E44" s="109">
        <v>38659787</v>
      </c>
      <c r="F44" s="109">
        <v>25254327</v>
      </c>
      <c r="G44" s="109">
        <v>25872402</v>
      </c>
      <c r="H44" s="399">
        <v>25399222</v>
      </c>
      <c r="I44" s="400">
        <v>19754152</v>
      </c>
      <c r="J44" s="109">
        <v>30489681</v>
      </c>
      <c r="K44" s="109">
        <v>23233039</v>
      </c>
      <c r="L44" s="109">
        <v>28198688</v>
      </c>
      <c r="M44" s="109">
        <v>25236830</v>
      </c>
      <c r="N44" s="528">
        <f t="shared" si="11"/>
        <v>74382781</v>
      </c>
      <c r="O44" s="561">
        <f>SUM(C44:N44)</f>
        <v>362226723</v>
      </c>
      <c r="P44" s="240">
        <f>'B2-FinPerf SC'!K45</f>
        <v>362226723</v>
      </c>
      <c r="Q44" s="75">
        <f>'B2-FinPerf SC'!L45</f>
        <v>383192451</v>
      </c>
      <c r="R44" s="76">
        <f>'B2-FinPerf SC'!M45</f>
        <v>404319775</v>
      </c>
      <c r="S44" s="127"/>
    </row>
    <row r="45" spans="1:19" ht="12.75" customHeight="1">
      <c r="A45" s="108" t="str">
        <f t="shared" si="9"/>
        <v>Water</v>
      </c>
      <c r="B45" s="128"/>
      <c r="C45" s="109"/>
      <c r="D45" s="109"/>
      <c r="E45" s="109"/>
      <c r="F45" s="109"/>
      <c r="G45" s="109"/>
      <c r="H45" s="399"/>
      <c r="I45" s="400"/>
      <c r="J45" s="109"/>
      <c r="K45" s="109"/>
      <c r="L45" s="109"/>
      <c r="M45" s="109"/>
      <c r="N45" s="528">
        <f t="shared" si="11"/>
        <v>0</v>
      </c>
      <c r="O45" s="561"/>
      <c r="P45" s="240">
        <f>'B2-FinPerf SC'!K46</f>
        <v>0</v>
      </c>
      <c r="Q45" s="75">
        <f>'B2-FinPerf SC'!L46</f>
        <v>0</v>
      </c>
      <c r="R45" s="76">
        <f>'B2-FinPerf SC'!M46</f>
        <v>0</v>
      </c>
      <c r="S45" s="127"/>
    </row>
    <row r="46" spans="1:19" ht="12.75" customHeight="1">
      <c r="A46" s="108" t="str">
        <f t="shared" si="9"/>
        <v>Waste water management</v>
      </c>
      <c r="B46" s="128"/>
      <c r="C46" s="111">
        <v>470915</v>
      </c>
      <c r="D46" s="111">
        <v>442597</v>
      </c>
      <c r="E46" s="111">
        <v>485464</v>
      </c>
      <c r="F46" s="111">
        <v>522265</v>
      </c>
      <c r="G46" s="111">
        <v>504349</v>
      </c>
      <c r="H46" s="577">
        <v>474827</v>
      </c>
      <c r="I46" s="578">
        <v>554560</v>
      </c>
      <c r="J46" s="111">
        <v>372223</v>
      </c>
      <c r="K46" s="111">
        <v>470782</v>
      </c>
      <c r="L46" s="111">
        <v>649999</v>
      </c>
      <c r="M46" s="111">
        <v>461768</v>
      </c>
      <c r="N46" s="528">
        <f t="shared" si="11"/>
        <v>761094</v>
      </c>
      <c r="O46" s="561"/>
      <c r="P46" s="240">
        <f>'B2-FinPerf SC'!K47</f>
        <v>6170843</v>
      </c>
      <c r="Q46" s="75">
        <f>'B2-FinPerf SC'!L47</f>
        <v>6693918</v>
      </c>
      <c r="R46" s="76">
        <f>'B2-FinPerf SC'!M47</f>
        <v>6790402</v>
      </c>
      <c r="S46" s="127"/>
    </row>
    <row r="47" spans="1:19" ht="12.75" customHeight="1">
      <c r="A47" s="108" t="str">
        <f t="shared" si="9"/>
        <v>Waste management</v>
      </c>
      <c r="B47" s="128"/>
      <c r="C47" s="109">
        <v>2055715</v>
      </c>
      <c r="D47" s="109">
        <v>3732151</v>
      </c>
      <c r="E47" s="109">
        <v>3869819</v>
      </c>
      <c r="F47" s="109">
        <v>4122967</v>
      </c>
      <c r="G47" s="109">
        <v>3554206</v>
      </c>
      <c r="H47" s="399">
        <v>5451531</v>
      </c>
      <c r="I47" s="400">
        <v>4075405</v>
      </c>
      <c r="J47" s="109">
        <v>3091222</v>
      </c>
      <c r="K47" s="109">
        <v>3069142</v>
      </c>
      <c r="L47" s="109">
        <v>4634253</v>
      </c>
      <c r="M47" s="109">
        <v>3479689</v>
      </c>
      <c r="N47" s="528">
        <f t="shared" si="11"/>
        <v>6991978</v>
      </c>
      <c r="O47" s="561"/>
      <c r="P47" s="240">
        <f>'B2-FinPerf SC'!K48</f>
        <v>48128078</v>
      </c>
      <c r="Q47" s="75">
        <f>'B2-FinPerf SC'!L48</f>
        <v>49463252</v>
      </c>
      <c r="R47" s="76">
        <f>'B2-FinPerf SC'!M48</f>
        <v>51322562</v>
      </c>
      <c r="S47" s="127"/>
    </row>
    <row r="48" spans="1:19" ht="12.75" customHeight="1">
      <c r="A48" s="107" t="str">
        <f t="shared" si="9"/>
        <v>Other</v>
      </c>
      <c r="B48" s="128"/>
      <c r="C48" s="109"/>
      <c r="D48" s="109"/>
      <c r="E48" s="840"/>
      <c r="F48" s="840"/>
      <c r="G48" s="840"/>
      <c r="H48" s="924"/>
      <c r="I48" s="925"/>
      <c r="J48" s="840"/>
      <c r="K48" s="840"/>
      <c r="L48" s="840"/>
      <c r="M48" s="840"/>
      <c r="N48" s="536">
        <f t="shared" si="11"/>
        <v>0</v>
      </c>
      <c r="O48" s="576"/>
      <c r="P48" s="496">
        <f>'B2-FinPerf SC'!K49</f>
        <v>0</v>
      </c>
      <c r="Q48" s="140">
        <f>'B2-FinPerf SC'!L49</f>
        <v>0</v>
      </c>
      <c r="R48" s="141">
        <f>'B2-FinPerf SC'!M49</f>
        <v>0</v>
      </c>
      <c r="S48" s="127"/>
    </row>
    <row r="49" spans="1:19" ht="12.75" customHeight="1">
      <c r="A49" s="162" t="s">
        <v>676</v>
      </c>
      <c r="B49" s="162"/>
      <c r="C49" s="113">
        <f>C29+C33+C39+C43+C48</f>
        <v>43261357</v>
      </c>
      <c r="D49" s="113">
        <f>D29+D33+D39+D43+D48</f>
        <v>72959433</v>
      </c>
      <c r="E49" s="706">
        <f>E29+E33+E39+E43+E48</f>
        <v>74600132</v>
      </c>
      <c r="F49" s="706">
        <f t="shared" ref="F49:R49" si="16">F29+F33+F39+F43+F48</f>
        <v>61112218</v>
      </c>
      <c r="G49" s="706">
        <f t="shared" si="16"/>
        <v>62242716</v>
      </c>
      <c r="H49" s="710">
        <f t="shared" si="16"/>
        <v>64863565</v>
      </c>
      <c r="I49" s="703">
        <f t="shared" si="16"/>
        <v>55329820</v>
      </c>
      <c r="J49" s="706">
        <f t="shared" si="16"/>
        <v>62410975</v>
      </c>
      <c r="K49" s="706">
        <f t="shared" si="16"/>
        <v>57750127</v>
      </c>
      <c r="L49" s="706">
        <f t="shared" si="16"/>
        <v>62331420</v>
      </c>
      <c r="M49" s="706">
        <f>M29+M33+M39+M43+M48</f>
        <v>56789156</v>
      </c>
      <c r="N49" s="711">
        <f t="shared" si="16"/>
        <v>125873800</v>
      </c>
      <c r="O49" s="712">
        <f t="shared" si="16"/>
        <v>651353948</v>
      </c>
      <c r="P49" s="703">
        <f t="shared" si="16"/>
        <v>799524719</v>
      </c>
      <c r="Q49" s="704">
        <f t="shared" si="16"/>
        <v>839414423</v>
      </c>
      <c r="R49" s="705">
        <f t="shared" si="16"/>
        <v>881658580</v>
      </c>
      <c r="S49" s="127"/>
    </row>
    <row r="50" spans="1:19" ht="5.0999999999999996" customHeight="1">
      <c r="A50" s="83"/>
      <c r="B50" s="128"/>
      <c r="C50" s="240"/>
      <c r="D50" s="75"/>
      <c r="E50" s="75"/>
      <c r="F50" s="75"/>
      <c r="G50" s="75"/>
      <c r="H50" s="528"/>
      <c r="I50" s="240"/>
      <c r="J50" s="75"/>
      <c r="K50" s="75"/>
      <c r="L50" s="75"/>
      <c r="M50" s="75"/>
      <c r="N50" s="528"/>
      <c r="O50" s="561"/>
      <c r="P50" s="240"/>
      <c r="Q50" s="75"/>
      <c r="R50" s="76"/>
      <c r="S50" s="127"/>
    </row>
    <row r="51" spans="1:19" ht="12.75" customHeight="1">
      <c r="A51" s="154" t="s">
        <v>244</v>
      </c>
      <c r="B51" s="154"/>
      <c r="C51" s="115">
        <f t="shared" ref="C51:R51" si="17">C26-C49</f>
        <v>94449282</v>
      </c>
      <c r="D51" s="116">
        <f t="shared" si="17"/>
        <v>1352566</v>
      </c>
      <c r="E51" s="116">
        <f t="shared" si="17"/>
        <v>-20862623</v>
      </c>
      <c r="F51" s="116">
        <f t="shared" si="17"/>
        <v>-13973418</v>
      </c>
      <c r="G51" s="116">
        <f t="shared" si="17"/>
        <v>12940559</v>
      </c>
      <c r="H51" s="543">
        <f t="shared" si="17"/>
        <v>28885202</v>
      </c>
      <c r="I51" s="115">
        <f t="shared" si="17"/>
        <v>-8773727</v>
      </c>
      <c r="J51" s="116">
        <f t="shared" si="17"/>
        <v>-19645804</v>
      </c>
      <c r="K51" s="116">
        <f t="shared" si="17"/>
        <v>54555606</v>
      </c>
      <c r="L51" s="116">
        <f t="shared" si="17"/>
        <v>-22519291</v>
      </c>
      <c r="M51" s="116">
        <f t="shared" si="17"/>
        <v>-16057505</v>
      </c>
      <c r="N51" s="543">
        <f t="shared" si="17"/>
        <v>20282410</v>
      </c>
      <c r="O51" s="564">
        <f t="shared" si="17"/>
        <v>258804028</v>
      </c>
      <c r="P51" s="115">
        <f t="shared" si="17"/>
        <v>110633257</v>
      </c>
      <c r="Q51" s="116">
        <f t="shared" si="17"/>
        <v>80774108</v>
      </c>
      <c r="R51" s="117">
        <f t="shared" si="17"/>
        <v>127518215</v>
      </c>
      <c r="S51" s="127"/>
    </row>
    <row r="52" spans="1:19">
      <c r="A52" s="565" t="str">
        <f>head27a</f>
        <v>References</v>
      </c>
      <c r="B52" s="579"/>
      <c r="C52" s="566"/>
      <c r="D52" s="566"/>
      <c r="E52" s="566"/>
      <c r="F52" s="566"/>
      <c r="G52" s="566"/>
      <c r="H52" s="566"/>
      <c r="I52" s="566"/>
      <c r="J52" s="566"/>
      <c r="K52" s="566"/>
      <c r="L52" s="566"/>
      <c r="M52" s="566"/>
      <c r="N52" s="566"/>
      <c r="O52" s="566"/>
      <c r="P52" s="566"/>
      <c r="Q52" s="566"/>
      <c r="R52" s="566"/>
      <c r="S52" s="127"/>
    </row>
    <row r="53" spans="1:19">
      <c r="A53" s="288" t="s">
        <v>245</v>
      </c>
    </row>
    <row r="54" spans="1:19">
      <c r="A54" s="319"/>
      <c r="B54" s="319"/>
      <c r="P54" s="567"/>
      <c r="Q54" s="567"/>
      <c r="R54" s="567"/>
    </row>
    <row r="56" spans="1:19">
      <c r="B56" s="127"/>
    </row>
  </sheetData>
  <mergeCells count="3">
    <mergeCell ref="A2:A3"/>
    <mergeCell ref="B2:B3"/>
    <mergeCell ref="C2:N2"/>
  </mergeCells>
  <phoneticPr fontId="17"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Sheet104" enableFormatConditionsCalculation="0">
    <tabColor indexed="42"/>
    <pageSetUpPr fitToPage="1"/>
  </sheetPr>
  <dimension ref="A1:R55"/>
  <sheetViews>
    <sheetView showGridLines="0" workbookViewId="0">
      <pane xSplit="2" ySplit="4" topLeftCell="E5" activePane="bottomRight" state="frozen"/>
      <selection activeCell="M17" sqref="M17:M63"/>
      <selection pane="topRight" activeCell="M17" sqref="M17:M63"/>
      <selection pane="bottomLeft" activeCell="M17" sqref="M17:M63"/>
      <selection pane="bottomRight" activeCell="K20" sqref="K20"/>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LIM333 Greater Tzaneen - Supporting Table SB14 Consolidated Adjustments Budget - monthly revenue and expenditure - 26 FEBRUARY 2014</v>
      </c>
      <c r="B1" s="57"/>
      <c r="D1" s="58"/>
    </row>
    <row r="2" spans="1:18" ht="25.5">
      <c r="A2" s="1327" t="str">
        <f>desc</f>
        <v>Description</v>
      </c>
      <c r="B2" s="1322" t="str">
        <f>head27</f>
        <v>Ref</v>
      </c>
      <c r="C2" s="1319" t="str">
        <f>Head2</f>
        <v>Budget Year 2013/14</v>
      </c>
      <c r="D2" s="1320"/>
      <c r="E2" s="1320"/>
      <c r="F2" s="1320"/>
      <c r="G2" s="1320"/>
      <c r="H2" s="1320"/>
      <c r="I2" s="1320"/>
      <c r="J2" s="1320"/>
      <c r="K2" s="1320"/>
      <c r="L2" s="1320"/>
      <c r="M2" s="1320"/>
      <c r="N2" s="1321"/>
      <c r="O2" s="548"/>
      <c r="P2" s="549" t="s">
        <v>227</v>
      </c>
      <c r="Q2" s="550"/>
      <c r="R2" s="551"/>
    </row>
    <row r="3" spans="1:18"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80" t="s">
        <v>643</v>
      </c>
      <c r="B4" s="104"/>
      <c r="C4" s="831" t="str">
        <f t="shared" ref="C4:H4" si="0">Head5A</f>
        <v>Outcome</v>
      </c>
      <c r="D4" s="832" t="str">
        <f t="shared" si="0"/>
        <v>Outcome</v>
      </c>
      <c r="E4" s="832" t="str">
        <f t="shared" si="0"/>
        <v>Outcome</v>
      </c>
      <c r="F4" s="832" t="str">
        <f t="shared" si="0"/>
        <v>Outcome</v>
      </c>
      <c r="G4" s="832" t="str">
        <f t="shared" si="0"/>
        <v>Outcome</v>
      </c>
      <c r="H4" s="833" t="str">
        <f t="shared" si="0"/>
        <v>Outcome</v>
      </c>
      <c r="I4" s="831" t="str">
        <f t="shared" ref="I4:N4" si="1">Head7</f>
        <v>Adjusted Budget</v>
      </c>
      <c r="J4" s="833" t="str">
        <f t="shared" si="1"/>
        <v>Adjusted Budget</v>
      </c>
      <c r="K4" s="832" t="str">
        <f t="shared" si="1"/>
        <v>Adjusted Budget</v>
      </c>
      <c r="L4" s="832" t="str">
        <f t="shared" si="1"/>
        <v>Adjusted Budget</v>
      </c>
      <c r="M4" s="832" t="str">
        <f t="shared" si="1"/>
        <v>Adjusted Budget</v>
      </c>
      <c r="N4" s="833" t="str">
        <f t="shared" si="1"/>
        <v>Adjusted Budget</v>
      </c>
      <c r="O4" s="557"/>
      <c r="P4" s="558" t="str">
        <f>Head7</f>
        <v>Adjusted Budget</v>
      </c>
      <c r="Q4" s="559" t="str">
        <f>Head7</f>
        <v>Adjusted Budget</v>
      </c>
      <c r="R4" s="560" t="str">
        <f>Head7</f>
        <v>Adjusted Budget</v>
      </c>
    </row>
    <row r="5" spans="1:18" ht="12.75" customHeight="1">
      <c r="A5" s="581" t="s">
        <v>684</v>
      </c>
      <c r="B5" s="128"/>
      <c r="C5" s="240"/>
      <c r="D5" s="75"/>
      <c r="E5" s="75"/>
      <c r="F5" s="75"/>
      <c r="G5" s="75"/>
      <c r="H5" s="528"/>
      <c r="I5" s="240"/>
      <c r="J5" s="75"/>
      <c r="K5" s="75"/>
      <c r="L5" s="75"/>
      <c r="M5" s="75"/>
      <c r="N5" s="528"/>
      <c r="O5" s="561"/>
      <c r="P5" s="240"/>
      <c r="Q5" s="75"/>
      <c r="R5" s="76"/>
    </row>
    <row r="6" spans="1:18" ht="12.75" customHeight="1">
      <c r="A6" s="85" t="s">
        <v>593</v>
      </c>
      <c r="B6" s="128"/>
      <c r="C6" s="400">
        <v>5703460</v>
      </c>
      <c r="D6" s="109">
        <v>5099809</v>
      </c>
      <c r="E6" s="109">
        <v>5437794</v>
      </c>
      <c r="F6" s="109">
        <v>5933691</v>
      </c>
      <c r="G6" s="109">
        <v>5529412</v>
      </c>
      <c r="H6" s="399">
        <v>5593467</v>
      </c>
      <c r="I6" s="400">
        <v>4401193</v>
      </c>
      <c r="J6" s="109">
        <v>4344780</v>
      </c>
      <c r="K6" s="109">
        <v>4324805</v>
      </c>
      <c r="L6" s="109">
        <v>5062705</v>
      </c>
      <c r="M6" s="109">
        <v>4420699</v>
      </c>
      <c r="N6" s="528">
        <f t="shared" ref="N6:N22" si="2">P6-SUM(C6:M6)</f>
        <v>-4391815</v>
      </c>
      <c r="O6" s="561">
        <f t="shared" ref="O6:O22" si="3">SUM(C6:N6)</f>
        <v>51460000</v>
      </c>
      <c r="P6" s="240">
        <f>'B4-FinPerf RE'!K7</f>
        <v>51460000</v>
      </c>
      <c r="Q6" s="75">
        <f>'B4-FinPerf RE'!L7</f>
        <v>53981540</v>
      </c>
      <c r="R6" s="76">
        <f>'B4-FinPerf RE'!M7</f>
        <v>56626635</v>
      </c>
    </row>
    <row r="7" spans="1:18" ht="12.75" customHeight="1">
      <c r="A7" s="85" t="s">
        <v>685</v>
      </c>
      <c r="B7" s="128"/>
      <c r="C7" s="400">
        <v>285798</v>
      </c>
      <c r="D7" s="109">
        <v>373413</v>
      </c>
      <c r="E7" s="109">
        <v>384429</v>
      </c>
      <c r="F7" s="109">
        <v>396639</v>
      </c>
      <c r="G7" s="109">
        <v>395982</v>
      </c>
      <c r="H7" s="399">
        <v>416639</v>
      </c>
      <c r="I7" s="400">
        <v>352152</v>
      </c>
      <c r="J7" s="109">
        <v>338743</v>
      </c>
      <c r="K7" s="109">
        <v>376084</v>
      </c>
      <c r="L7" s="109">
        <v>343935</v>
      </c>
      <c r="M7" s="109">
        <v>389587</v>
      </c>
      <c r="N7" s="528">
        <f t="shared" si="2"/>
        <v>-153401</v>
      </c>
      <c r="O7" s="561">
        <f t="shared" si="3"/>
        <v>3900000</v>
      </c>
      <c r="P7" s="240">
        <f>'B4-FinPerf RE'!K8</f>
        <v>3900000</v>
      </c>
      <c r="Q7" s="75">
        <f>'B4-FinPerf RE'!L8</f>
        <v>4091100</v>
      </c>
      <c r="R7" s="76">
        <f>'B4-FinPerf RE'!M8</f>
        <v>4291564</v>
      </c>
    </row>
    <row r="8" spans="1:18" ht="12.75" customHeight="1">
      <c r="A8" s="85" t="s">
        <v>686</v>
      </c>
      <c r="B8" s="128"/>
      <c r="C8" s="400">
        <v>30457919</v>
      </c>
      <c r="D8" s="109">
        <v>34109469</v>
      </c>
      <c r="E8" s="109">
        <v>33580539</v>
      </c>
      <c r="F8" s="109">
        <v>30930299</v>
      </c>
      <c r="G8" s="109">
        <v>25682609</v>
      </c>
      <c r="H8" s="399">
        <v>25213921</v>
      </c>
      <c r="I8" s="400">
        <v>28822310</v>
      </c>
      <c r="J8" s="109">
        <v>25219984</v>
      </c>
      <c r="K8" s="109">
        <v>26489635</v>
      </c>
      <c r="L8" s="109">
        <v>28479920</v>
      </c>
      <c r="M8" s="109">
        <v>29039786</v>
      </c>
      <c r="N8" s="528">
        <f t="shared" si="2"/>
        <v>61498093</v>
      </c>
      <c r="O8" s="561">
        <f t="shared" si="3"/>
        <v>379524484</v>
      </c>
      <c r="P8" s="240">
        <f>'B4-FinPerf RE'!K9</f>
        <v>379524484</v>
      </c>
      <c r="Q8" s="75">
        <f>'B4-FinPerf RE'!L9</f>
        <v>398121183.69999999</v>
      </c>
      <c r="R8" s="76">
        <f>'B4-FinPerf RE'!M9</f>
        <v>417629121.69999999</v>
      </c>
    </row>
    <row r="9" spans="1:18" ht="12.75" customHeight="1">
      <c r="A9" s="85" t="s">
        <v>687</v>
      </c>
      <c r="B9" s="128"/>
      <c r="C9" s="400"/>
      <c r="D9" s="109"/>
      <c r="E9" s="109"/>
      <c r="F9" s="109"/>
      <c r="G9" s="109"/>
      <c r="H9" s="399"/>
      <c r="I9" s="400" t="s">
        <v>1787</v>
      </c>
      <c r="J9" s="109" t="s">
        <v>1787</v>
      </c>
      <c r="K9" s="109" t="s">
        <v>1787</v>
      </c>
      <c r="L9" s="109" t="s">
        <v>1787</v>
      </c>
      <c r="M9" s="109" t="s">
        <v>1787</v>
      </c>
      <c r="N9" s="528">
        <f t="shared" si="2"/>
        <v>0</v>
      </c>
      <c r="O9" s="561">
        <f t="shared" si="3"/>
        <v>0</v>
      </c>
      <c r="P9" s="240">
        <f>'B4-FinPerf RE'!K10</f>
        <v>0</v>
      </c>
      <c r="Q9" s="75">
        <f>'B4-FinPerf RE'!L10</f>
        <v>0</v>
      </c>
      <c r="R9" s="76">
        <f>'B4-FinPerf RE'!M10</f>
        <v>0</v>
      </c>
    </row>
    <row r="10" spans="1:18" ht="12.75" customHeight="1">
      <c r="A10" s="85" t="s">
        <v>688</v>
      </c>
      <c r="B10" s="128"/>
      <c r="C10" s="400"/>
      <c r="D10" s="109"/>
      <c r="E10" s="109"/>
      <c r="F10" s="109"/>
      <c r="G10" s="109"/>
      <c r="H10" s="399"/>
      <c r="I10" s="400" t="s">
        <v>1787</v>
      </c>
      <c r="J10" s="109" t="s">
        <v>1787</v>
      </c>
      <c r="K10" s="109" t="s">
        <v>1787</v>
      </c>
      <c r="L10" s="109" t="s">
        <v>1787</v>
      </c>
      <c r="M10" s="109" t="s">
        <v>1787</v>
      </c>
      <c r="N10" s="528">
        <f t="shared" si="2"/>
        <v>0</v>
      </c>
      <c r="O10" s="561">
        <f t="shared" si="3"/>
        <v>0</v>
      </c>
      <c r="P10" s="240">
        <f>'B4-FinPerf RE'!K11</f>
        <v>0</v>
      </c>
      <c r="Q10" s="75">
        <f>'B4-FinPerf RE'!L11</f>
        <v>0</v>
      </c>
      <c r="R10" s="76">
        <f>'B4-FinPerf RE'!M11</f>
        <v>0</v>
      </c>
    </row>
    <row r="11" spans="1:18" ht="12.75" customHeight="1">
      <c r="A11" s="85" t="s">
        <v>246</v>
      </c>
      <c r="B11" s="128"/>
      <c r="C11" s="400">
        <v>1843748</v>
      </c>
      <c r="D11" s="109">
        <v>2060195</v>
      </c>
      <c r="E11" s="109">
        <v>2047760</v>
      </c>
      <c r="F11" s="109">
        <v>1918900</v>
      </c>
      <c r="G11" s="109">
        <v>1835765</v>
      </c>
      <c r="H11" s="399">
        <v>1991063</v>
      </c>
      <c r="I11" s="400">
        <v>1671702</v>
      </c>
      <c r="J11" s="109">
        <v>1931074</v>
      </c>
      <c r="K11" s="109">
        <v>1722845</v>
      </c>
      <c r="L11" s="109">
        <v>1832489</v>
      </c>
      <c r="M11" s="109">
        <v>1758557</v>
      </c>
      <c r="N11" s="528">
        <f t="shared" si="2"/>
        <v>271351</v>
      </c>
      <c r="O11" s="561">
        <f t="shared" si="3"/>
        <v>20885449</v>
      </c>
      <c r="P11" s="240">
        <f>'B4-FinPerf RE'!K12</f>
        <v>20885449</v>
      </c>
      <c r="Q11" s="75">
        <f>'B4-FinPerf RE'!L12</f>
        <v>21908836</v>
      </c>
      <c r="R11" s="76">
        <f>'B4-FinPerf RE'!M12</f>
        <v>22982368.469999999</v>
      </c>
    </row>
    <row r="12" spans="1:18" ht="12.75" customHeight="1">
      <c r="A12" s="85" t="s">
        <v>689</v>
      </c>
      <c r="B12" s="128"/>
      <c r="C12" s="400">
        <v>31724</v>
      </c>
      <c r="D12" s="109">
        <v>33284</v>
      </c>
      <c r="E12" s="109">
        <v>28393</v>
      </c>
      <c r="F12" s="109">
        <v>27794</v>
      </c>
      <c r="G12" s="109">
        <v>23835</v>
      </c>
      <c r="H12" s="399">
        <v>3867</v>
      </c>
      <c r="I12" s="400">
        <v>418884</v>
      </c>
      <c r="J12" s="109">
        <v>27783</v>
      </c>
      <c r="K12" s="109">
        <v>26134</v>
      </c>
      <c r="L12" s="109">
        <v>28809</v>
      </c>
      <c r="M12" s="109">
        <v>144081</v>
      </c>
      <c r="N12" s="528">
        <f t="shared" si="2"/>
        <v>571252</v>
      </c>
      <c r="O12" s="561">
        <f t="shared" si="3"/>
        <v>1365840</v>
      </c>
      <c r="P12" s="240">
        <f>'B4-FinPerf RE'!K13</f>
        <v>1365840</v>
      </c>
      <c r="Q12" s="75">
        <f>'B4-FinPerf RE'!L13</f>
        <v>1432766</v>
      </c>
      <c r="R12" s="76">
        <f>'B4-FinPerf RE'!M13</f>
        <v>1502972</v>
      </c>
    </row>
    <row r="13" spans="1:18" ht="12.75" customHeight="1">
      <c r="A13" s="85" t="s">
        <v>690</v>
      </c>
      <c r="B13" s="128"/>
      <c r="C13" s="400">
        <v>64318</v>
      </c>
      <c r="D13" s="109">
        <v>67337</v>
      </c>
      <c r="E13" s="109">
        <v>67463</v>
      </c>
      <c r="F13" s="109">
        <v>69725</v>
      </c>
      <c r="G13" s="109">
        <v>74058</v>
      </c>
      <c r="H13" s="399">
        <v>97806</v>
      </c>
      <c r="I13" s="400">
        <v>20634</v>
      </c>
      <c r="J13" s="109">
        <v>21920</v>
      </c>
      <c r="K13" s="109">
        <v>22474</v>
      </c>
      <c r="L13" s="109">
        <v>22317</v>
      </c>
      <c r="M13" s="109">
        <v>22678</v>
      </c>
      <c r="N13" s="528">
        <f t="shared" si="2"/>
        <v>-291630</v>
      </c>
      <c r="O13" s="561">
        <f t="shared" si="3"/>
        <v>259100</v>
      </c>
      <c r="P13" s="240">
        <f>'B4-FinPerf RE'!K14</f>
        <v>259100</v>
      </c>
      <c r="Q13" s="75">
        <f>'B4-FinPerf RE'!L14</f>
        <v>271796</v>
      </c>
      <c r="R13" s="76">
        <f>'B4-FinPerf RE'!M14</f>
        <v>285114</v>
      </c>
    </row>
    <row r="14" spans="1:18" ht="12.75" customHeight="1">
      <c r="A14" s="85" t="s">
        <v>691</v>
      </c>
      <c r="B14" s="128"/>
      <c r="C14" s="400">
        <v>0</v>
      </c>
      <c r="D14" s="109">
        <v>209342</v>
      </c>
      <c r="E14" s="109">
        <v>88293</v>
      </c>
      <c r="F14" s="109">
        <v>0</v>
      </c>
      <c r="G14" s="109">
        <v>0</v>
      </c>
      <c r="H14" s="399">
        <v>0</v>
      </c>
      <c r="I14" s="400">
        <v>171764</v>
      </c>
      <c r="J14" s="109">
        <v>204733</v>
      </c>
      <c r="K14" s="109">
        <v>287453</v>
      </c>
      <c r="L14" s="109">
        <v>55750</v>
      </c>
      <c r="M14" s="109">
        <v>414692</v>
      </c>
      <c r="N14" s="528">
        <f t="shared" si="2"/>
        <v>1568973</v>
      </c>
      <c r="O14" s="561">
        <f t="shared" si="3"/>
        <v>3001000</v>
      </c>
      <c r="P14" s="240">
        <f>'B4-FinPerf RE'!K15</f>
        <v>3001000</v>
      </c>
      <c r="Q14" s="75">
        <f>'B4-FinPerf RE'!L15</f>
        <v>3148049</v>
      </c>
      <c r="R14" s="76">
        <f>'B4-FinPerf RE'!M15</f>
        <v>3302303</v>
      </c>
    </row>
    <row r="15" spans="1:18" ht="12.75" customHeight="1">
      <c r="A15" s="85" t="s">
        <v>692</v>
      </c>
      <c r="B15" s="128"/>
      <c r="C15" s="400">
        <v>1315741</v>
      </c>
      <c r="D15" s="109">
        <v>1427773</v>
      </c>
      <c r="E15" s="109">
        <v>1588479</v>
      </c>
      <c r="F15" s="109">
        <v>1563624</v>
      </c>
      <c r="G15" s="109">
        <v>1432066</v>
      </c>
      <c r="H15" s="399">
        <v>1540461</v>
      </c>
      <c r="I15" s="400">
        <v>1407293</v>
      </c>
      <c r="J15" s="109">
        <v>1341431</v>
      </c>
      <c r="K15" s="109">
        <v>1417906</v>
      </c>
      <c r="L15" s="109">
        <v>1470449</v>
      </c>
      <c r="M15" s="109">
        <v>1177736</v>
      </c>
      <c r="N15" s="528">
        <f t="shared" si="2"/>
        <v>317041</v>
      </c>
      <c r="O15" s="561">
        <f t="shared" si="3"/>
        <v>16000000</v>
      </c>
      <c r="P15" s="240">
        <f>'B4-FinPerf RE'!K16</f>
        <v>16000000</v>
      </c>
      <c r="Q15" s="75">
        <f>'B4-FinPerf RE'!L16</f>
        <v>16784000</v>
      </c>
      <c r="R15" s="76">
        <f>'B4-FinPerf RE'!M16</f>
        <v>17606416</v>
      </c>
    </row>
    <row r="16" spans="1:18" ht="12.75" customHeight="1">
      <c r="A16" s="85" t="s">
        <v>693</v>
      </c>
      <c r="B16" s="128"/>
      <c r="C16" s="400"/>
      <c r="D16" s="109"/>
      <c r="E16" s="109"/>
      <c r="F16" s="109"/>
      <c r="G16" s="109"/>
      <c r="H16" s="399"/>
      <c r="I16" s="400" t="s">
        <v>1787</v>
      </c>
      <c r="J16" s="109" t="s">
        <v>1787</v>
      </c>
      <c r="K16" s="109" t="s">
        <v>1787</v>
      </c>
      <c r="L16" s="109" t="s">
        <v>1787</v>
      </c>
      <c r="M16" s="109" t="s">
        <v>1787</v>
      </c>
      <c r="N16" s="528">
        <f t="shared" si="2"/>
        <v>0</v>
      </c>
      <c r="O16" s="561">
        <f t="shared" si="3"/>
        <v>0</v>
      </c>
      <c r="P16" s="240">
        <f>'B4-FinPerf RE'!K17</f>
        <v>0</v>
      </c>
      <c r="Q16" s="75">
        <f>'B4-FinPerf RE'!L17</f>
        <v>0</v>
      </c>
      <c r="R16" s="76">
        <f>'B4-FinPerf RE'!M17</f>
        <v>0</v>
      </c>
    </row>
    <row r="17" spans="1:18" ht="12.75" customHeight="1">
      <c r="A17" s="85" t="s">
        <v>694</v>
      </c>
      <c r="B17" s="128"/>
      <c r="C17" s="400">
        <v>362264</v>
      </c>
      <c r="D17" s="109">
        <v>412681</v>
      </c>
      <c r="E17" s="109">
        <v>483370</v>
      </c>
      <c r="F17" s="109">
        <v>133976</v>
      </c>
      <c r="G17" s="109">
        <v>119298</v>
      </c>
      <c r="H17" s="399">
        <v>113886</v>
      </c>
      <c r="I17" s="400">
        <v>215049</v>
      </c>
      <c r="J17" s="109">
        <v>161739</v>
      </c>
      <c r="K17" s="109">
        <v>250737</v>
      </c>
      <c r="L17" s="109">
        <v>235759</v>
      </c>
      <c r="M17" s="109">
        <v>200550</v>
      </c>
      <c r="N17" s="528">
        <f t="shared" si="2"/>
        <v>520827</v>
      </c>
      <c r="O17" s="561">
        <f t="shared" si="3"/>
        <v>3210136</v>
      </c>
      <c r="P17" s="240">
        <f>'B4-FinPerf RE'!K18</f>
        <v>3210136</v>
      </c>
      <c r="Q17" s="75">
        <f>'B4-FinPerf RE'!L18</f>
        <v>3367433</v>
      </c>
      <c r="R17" s="76">
        <f>'B4-FinPerf RE'!M18</f>
        <v>3532437</v>
      </c>
    </row>
    <row r="18" spans="1:18" ht="12.75" customHeight="1">
      <c r="A18" s="85" t="s">
        <v>695</v>
      </c>
      <c r="B18" s="128"/>
      <c r="C18" s="400">
        <v>33217</v>
      </c>
      <c r="D18" s="109">
        <v>44433</v>
      </c>
      <c r="E18" s="109">
        <v>73071</v>
      </c>
      <c r="F18" s="109">
        <v>60911</v>
      </c>
      <c r="G18" s="109">
        <v>62580</v>
      </c>
      <c r="H18" s="399">
        <v>38229</v>
      </c>
      <c r="I18" s="400">
        <v>17194</v>
      </c>
      <c r="J18" s="109">
        <v>43166</v>
      </c>
      <c r="K18" s="109">
        <v>17188</v>
      </c>
      <c r="L18" s="109">
        <v>14657</v>
      </c>
      <c r="M18" s="109">
        <v>9201</v>
      </c>
      <c r="N18" s="528">
        <f t="shared" si="2"/>
        <v>-68847</v>
      </c>
      <c r="O18" s="561">
        <f t="shared" si="3"/>
        <v>345000</v>
      </c>
      <c r="P18" s="240">
        <f>'B4-FinPerf RE'!K19</f>
        <v>345000</v>
      </c>
      <c r="Q18" s="75">
        <f>'B4-FinPerf RE'!L19</f>
        <v>361905</v>
      </c>
      <c r="R18" s="76">
        <f>'B4-FinPerf RE'!M19</f>
        <v>379638</v>
      </c>
    </row>
    <row r="19" spans="1:18" ht="12.75" customHeight="1">
      <c r="A19" s="85" t="s">
        <v>696</v>
      </c>
      <c r="B19" s="128"/>
      <c r="C19" s="400">
        <v>3869068</v>
      </c>
      <c r="D19" s="109">
        <v>2957141</v>
      </c>
      <c r="E19" s="109">
        <v>3503176</v>
      </c>
      <c r="F19" s="109">
        <v>4127517</v>
      </c>
      <c r="G19" s="109">
        <v>2368332</v>
      </c>
      <c r="H19" s="399">
        <v>3950223</v>
      </c>
      <c r="I19" s="400">
        <v>6493950</v>
      </c>
      <c r="J19" s="109">
        <v>4551696</v>
      </c>
      <c r="K19" s="109">
        <v>3872458</v>
      </c>
      <c r="L19" s="109">
        <v>2262781</v>
      </c>
      <c r="M19" s="109">
        <v>3132507</v>
      </c>
      <c r="N19" s="528">
        <f t="shared" si="2"/>
        <v>3359401</v>
      </c>
      <c r="O19" s="561">
        <f t="shared" si="3"/>
        <v>44448250</v>
      </c>
      <c r="P19" s="240">
        <f>'B4-FinPerf RE'!K20</f>
        <v>44448250</v>
      </c>
      <c r="Q19" s="75">
        <f>'B4-FinPerf RE'!L20</f>
        <v>46626214</v>
      </c>
      <c r="R19" s="76">
        <f>'B4-FinPerf RE'!M20</f>
        <v>48910899</v>
      </c>
    </row>
    <row r="20" spans="1:18" ht="12.75" customHeight="1">
      <c r="A20" s="85" t="s">
        <v>1250</v>
      </c>
      <c r="B20" s="128"/>
      <c r="C20" s="400">
        <v>89784000</v>
      </c>
      <c r="D20" s="109">
        <v>1574000</v>
      </c>
      <c r="E20" s="109">
        <v>2421700</v>
      </c>
      <c r="F20" s="109">
        <v>1200000</v>
      </c>
      <c r="G20" s="109">
        <v>1513000</v>
      </c>
      <c r="H20" s="399">
        <v>54280000</v>
      </c>
      <c r="I20" s="400">
        <v>2415385</v>
      </c>
      <c r="J20" s="109">
        <v>2819778</v>
      </c>
      <c r="K20" s="109">
        <v>55870380</v>
      </c>
      <c r="L20" s="109" t="s">
        <v>1787</v>
      </c>
      <c r="M20" s="109" t="s">
        <v>1787</v>
      </c>
      <c r="N20" s="528">
        <f t="shared" si="2"/>
        <v>26963637.379999995</v>
      </c>
      <c r="O20" s="561">
        <f t="shared" si="3"/>
        <v>238841880.38</v>
      </c>
      <c r="P20" s="240">
        <f>'B4-FinPerf RE'!K21</f>
        <v>238841880.38</v>
      </c>
      <c r="Q20" s="75">
        <f>'B4-FinPerf RE'!L21</f>
        <v>267059041.99000001</v>
      </c>
      <c r="R20" s="76">
        <f>'B4-FinPerf RE'!M21</f>
        <v>321359364.50999999</v>
      </c>
    </row>
    <row r="21" spans="1:18" ht="12.75" customHeight="1">
      <c r="A21" s="85" t="s">
        <v>697</v>
      </c>
      <c r="B21" s="128"/>
      <c r="C21" s="400">
        <v>1108382</v>
      </c>
      <c r="D21" s="109">
        <v>341123</v>
      </c>
      <c r="E21" s="109">
        <v>1033042</v>
      </c>
      <c r="F21" s="109">
        <v>775422</v>
      </c>
      <c r="G21" s="109">
        <v>936335</v>
      </c>
      <c r="H21" s="399">
        <v>509204</v>
      </c>
      <c r="I21" s="400">
        <v>148584</v>
      </c>
      <c r="J21" s="109">
        <v>91678</v>
      </c>
      <c r="K21" s="109">
        <v>7248</v>
      </c>
      <c r="L21" s="109">
        <v>2558</v>
      </c>
      <c r="M21" s="109">
        <v>21576</v>
      </c>
      <c r="N21" s="528">
        <f t="shared" si="2"/>
        <v>38975665</v>
      </c>
      <c r="O21" s="561">
        <f t="shared" si="3"/>
        <v>43950817</v>
      </c>
      <c r="P21" s="240">
        <f>'B4-FinPerf RE'!K22</f>
        <v>43950817</v>
      </c>
      <c r="Q21" s="75">
        <f>'B4-FinPerf RE'!L22</f>
        <v>11958161</v>
      </c>
      <c r="R21" s="76">
        <f>'B4-FinPerf RE'!M22</f>
        <v>12725610</v>
      </c>
    </row>
    <row r="22" spans="1:18" ht="12.75" customHeight="1">
      <c r="A22" s="85" t="s">
        <v>698</v>
      </c>
      <c r="B22" s="128"/>
      <c r="C22" s="400">
        <v>0</v>
      </c>
      <c r="D22" s="109">
        <v>0</v>
      </c>
      <c r="E22" s="109">
        <v>0</v>
      </c>
      <c r="F22" s="109">
        <v>300</v>
      </c>
      <c r="G22" s="109">
        <v>0</v>
      </c>
      <c r="H22" s="399">
        <v>0</v>
      </c>
      <c r="I22" s="400"/>
      <c r="J22" s="109"/>
      <c r="K22" s="109"/>
      <c r="L22" s="109"/>
      <c r="M22" s="109"/>
      <c r="N22" s="528">
        <f t="shared" si="2"/>
        <v>2299700</v>
      </c>
      <c r="O22" s="561">
        <f t="shared" si="3"/>
        <v>2300000</v>
      </c>
      <c r="P22" s="240">
        <f>'B4-FinPerf RE'!K23</f>
        <v>2300000</v>
      </c>
      <c r="Q22" s="75">
        <f>'B4-FinPerf RE'!L23</f>
        <v>2412700</v>
      </c>
      <c r="R22" s="76">
        <f>'B4-FinPerf RE'!M23</f>
        <v>2530922</v>
      </c>
    </row>
    <row r="23" spans="1:18" ht="12.75" customHeight="1">
      <c r="A23" s="138" t="s">
        <v>247</v>
      </c>
      <c r="B23" s="562"/>
      <c r="C23" s="505">
        <f>SUM(C6:C22)</f>
        <v>134859639</v>
      </c>
      <c r="D23" s="81">
        <f t="shared" ref="D23:R23" si="4">SUM(D6:D22)</f>
        <v>48710000</v>
      </c>
      <c r="E23" s="81">
        <f t="shared" si="4"/>
        <v>50737509</v>
      </c>
      <c r="F23" s="81">
        <f t="shared" si="4"/>
        <v>47138798</v>
      </c>
      <c r="G23" s="81">
        <f t="shared" si="4"/>
        <v>39973272</v>
      </c>
      <c r="H23" s="539">
        <f t="shared" si="4"/>
        <v>93748766</v>
      </c>
      <c r="I23" s="505">
        <f t="shared" si="4"/>
        <v>46556094</v>
      </c>
      <c r="J23" s="81">
        <f t="shared" si="4"/>
        <v>41098505</v>
      </c>
      <c r="K23" s="81">
        <f t="shared" si="4"/>
        <v>94685347</v>
      </c>
      <c r="L23" s="81">
        <f t="shared" si="4"/>
        <v>39812129</v>
      </c>
      <c r="M23" s="81">
        <f t="shared" si="4"/>
        <v>40731650</v>
      </c>
      <c r="N23" s="539">
        <f t="shared" si="4"/>
        <v>131440247.38</v>
      </c>
      <c r="O23" s="582">
        <f t="shared" si="4"/>
        <v>809491956.38</v>
      </c>
      <c r="P23" s="505">
        <f t="shared" si="4"/>
        <v>809491956.38</v>
      </c>
      <c r="Q23" s="81">
        <f t="shared" si="4"/>
        <v>831524725.69000006</v>
      </c>
      <c r="R23" s="82">
        <f t="shared" si="4"/>
        <v>913665364.67999995</v>
      </c>
    </row>
    <row r="24" spans="1:18" ht="5.0999999999999996" customHeight="1">
      <c r="A24" s="85"/>
      <c r="B24" s="128"/>
      <c r="C24" s="240"/>
      <c r="D24" s="75"/>
      <c r="E24" s="75"/>
      <c r="F24" s="75"/>
      <c r="G24" s="75"/>
      <c r="H24" s="528"/>
      <c r="I24" s="240"/>
      <c r="J24" s="75"/>
      <c r="K24" s="75"/>
      <c r="L24" s="75"/>
      <c r="M24" s="75"/>
      <c r="N24" s="528"/>
      <c r="O24" s="561"/>
      <c r="P24" s="240"/>
      <c r="Q24" s="75"/>
      <c r="R24" s="76"/>
    </row>
    <row r="25" spans="1:18" ht="12.75" customHeight="1">
      <c r="A25" s="581" t="s">
        <v>699</v>
      </c>
      <c r="B25" s="128"/>
      <c r="C25" s="240"/>
      <c r="D25" s="75"/>
      <c r="E25" s="75"/>
      <c r="F25" s="75"/>
      <c r="G25" s="75"/>
      <c r="H25" s="528"/>
      <c r="I25" s="240"/>
      <c r="J25" s="75"/>
      <c r="K25" s="75"/>
      <c r="L25" s="75"/>
      <c r="M25" s="75"/>
      <c r="N25" s="528"/>
      <c r="O25" s="561"/>
      <c r="P25" s="240"/>
      <c r="Q25" s="75"/>
      <c r="R25" s="76"/>
    </row>
    <row r="26" spans="1:18" ht="12.75" customHeight="1">
      <c r="A26" s="85" t="s">
        <v>700</v>
      </c>
      <c r="B26" s="128"/>
      <c r="C26" s="400">
        <v>18061371</v>
      </c>
      <c r="D26" s="109">
        <v>12101860</v>
      </c>
      <c r="E26" s="109">
        <v>10261132</v>
      </c>
      <c r="F26" s="109">
        <v>11666103</v>
      </c>
      <c r="G26" s="109">
        <v>10634111</v>
      </c>
      <c r="H26" s="399">
        <v>13290773</v>
      </c>
      <c r="I26" s="400">
        <v>13504263</v>
      </c>
      <c r="J26" s="109">
        <v>13129202</v>
      </c>
      <c r="K26" s="109">
        <v>12428970</v>
      </c>
      <c r="L26" s="109">
        <v>7790739</v>
      </c>
      <c r="M26" s="109">
        <v>11638267</v>
      </c>
      <c r="N26" s="528">
        <f t="shared" ref="N26:N36" si="5">P26-SUM(C26:M26)</f>
        <v>308681</v>
      </c>
      <c r="O26" s="561">
        <f t="shared" ref="O26:O36" si="6">SUM(C26:N26)</f>
        <v>134815472</v>
      </c>
      <c r="P26" s="240">
        <f>'B4-FinPerf RE'!K27</f>
        <v>134815472</v>
      </c>
      <c r="Q26" s="75">
        <f>'B4-FinPerf RE'!L27</f>
        <v>141979633.76199999</v>
      </c>
      <c r="R26" s="76">
        <f>'B4-FinPerf RE'!M27</f>
        <v>149047417.8211</v>
      </c>
    </row>
    <row r="27" spans="1:18" ht="12.75" customHeight="1">
      <c r="A27" s="85" t="s">
        <v>599</v>
      </c>
      <c r="B27" s="128"/>
      <c r="C27" s="400">
        <v>1479020</v>
      </c>
      <c r="D27" s="109">
        <v>1478343</v>
      </c>
      <c r="E27" s="109">
        <v>1484580</v>
      </c>
      <c r="F27" s="109">
        <v>1477024</v>
      </c>
      <c r="G27" s="109">
        <v>1476398</v>
      </c>
      <c r="H27" s="399">
        <v>1478081</v>
      </c>
      <c r="I27" s="400">
        <v>1578303</v>
      </c>
      <c r="J27" s="109">
        <v>1562717</v>
      </c>
      <c r="K27" s="109">
        <v>1566928</v>
      </c>
      <c r="L27" s="109">
        <v>1566212</v>
      </c>
      <c r="M27" s="109">
        <v>1566212</v>
      </c>
      <c r="N27" s="528">
        <f t="shared" si="5"/>
        <v>2254876</v>
      </c>
      <c r="O27" s="561">
        <f t="shared" si="6"/>
        <v>18968694</v>
      </c>
      <c r="P27" s="240">
        <f>'B4-FinPerf RE'!K28</f>
        <v>18968694</v>
      </c>
      <c r="Q27" s="75">
        <f>'B4-FinPerf RE'!L28</f>
        <v>19887010</v>
      </c>
      <c r="R27" s="76">
        <f>'B4-FinPerf RE'!M28</f>
        <v>20883829</v>
      </c>
    </row>
    <row r="28" spans="1:18" ht="12.75" customHeight="1">
      <c r="A28" s="85" t="s">
        <v>701</v>
      </c>
      <c r="B28" s="128"/>
      <c r="C28" s="400"/>
      <c r="D28" s="109"/>
      <c r="E28" s="109"/>
      <c r="F28" s="109"/>
      <c r="G28" s="109"/>
      <c r="H28" s="399"/>
      <c r="I28" s="400" t="s">
        <v>1787</v>
      </c>
      <c r="J28" s="109" t="s">
        <v>1787</v>
      </c>
      <c r="K28" s="109" t="s">
        <v>1787</v>
      </c>
      <c r="L28" s="109" t="s">
        <v>1787</v>
      </c>
      <c r="M28" s="109" t="s">
        <v>1787</v>
      </c>
      <c r="N28" s="528">
        <f t="shared" si="5"/>
        <v>11006000</v>
      </c>
      <c r="O28" s="561">
        <f t="shared" si="6"/>
        <v>11006000</v>
      </c>
      <c r="P28" s="240">
        <f>'B4-FinPerf RE'!K29</f>
        <v>11006000</v>
      </c>
      <c r="Q28" s="75">
        <f>'B4-FinPerf RE'!L29</f>
        <v>11545294</v>
      </c>
      <c r="R28" s="76">
        <f>'B4-FinPerf RE'!M29</f>
        <v>12111013</v>
      </c>
    </row>
    <row r="29" spans="1:18" ht="12.75" customHeight="1">
      <c r="A29" s="85" t="s">
        <v>600</v>
      </c>
      <c r="B29" s="128"/>
      <c r="C29" s="400">
        <v>9227202</v>
      </c>
      <c r="D29" s="109">
        <v>9227202</v>
      </c>
      <c r="E29" s="109">
        <v>9227202</v>
      </c>
      <c r="F29" s="109">
        <v>9227202</v>
      </c>
      <c r="G29" s="109">
        <v>9227202</v>
      </c>
      <c r="H29" s="399">
        <v>9227202</v>
      </c>
      <c r="I29" s="400">
        <v>9227062</v>
      </c>
      <c r="J29" s="109">
        <v>9227062</v>
      </c>
      <c r="K29" s="109">
        <v>9227062</v>
      </c>
      <c r="L29" s="109">
        <v>9227062</v>
      </c>
      <c r="M29" s="109">
        <v>9227062</v>
      </c>
      <c r="N29" s="528">
        <f t="shared" si="5"/>
        <v>9227879</v>
      </c>
      <c r="O29" s="561">
        <f t="shared" si="6"/>
        <v>110726401</v>
      </c>
      <c r="P29" s="240">
        <f>'B4-FinPerf RE'!K30</f>
        <v>110726401</v>
      </c>
      <c r="Q29" s="75">
        <f>'B4-FinPerf RE'!L30</f>
        <v>127384502</v>
      </c>
      <c r="R29" s="76">
        <f>'B4-FinPerf RE'!M30</f>
        <v>135825133</v>
      </c>
    </row>
    <row r="30" spans="1:18" ht="12.75" customHeight="1">
      <c r="A30" s="85" t="s">
        <v>601</v>
      </c>
      <c r="B30" s="128"/>
      <c r="C30" s="400">
        <v>122205</v>
      </c>
      <c r="D30" s="109">
        <v>223714</v>
      </c>
      <c r="E30" s="109">
        <v>592213</v>
      </c>
      <c r="F30" s="109">
        <v>222646</v>
      </c>
      <c r="G30" s="109">
        <v>214851</v>
      </c>
      <c r="H30" s="399">
        <v>4339140</v>
      </c>
      <c r="I30" s="400" t="s">
        <v>1787</v>
      </c>
      <c r="J30" s="109" t="s">
        <v>1787</v>
      </c>
      <c r="K30" s="109">
        <v>102232</v>
      </c>
      <c r="L30" s="109" t="s">
        <v>1787</v>
      </c>
      <c r="M30" s="109">
        <v>430877</v>
      </c>
      <c r="N30" s="528">
        <f t="shared" si="5"/>
        <v>5241515</v>
      </c>
      <c r="O30" s="561">
        <f t="shared" si="6"/>
        <v>11489393</v>
      </c>
      <c r="P30" s="240">
        <f>'B4-FinPerf RE'!K31</f>
        <v>11489393</v>
      </c>
      <c r="Q30" s="75">
        <f>'B4-FinPerf RE'!L31</f>
        <v>12052374</v>
      </c>
      <c r="R30" s="76">
        <f>'B4-FinPerf RE'!M31</f>
        <v>12642940</v>
      </c>
    </row>
    <row r="31" spans="1:18" ht="12.75" customHeight="1">
      <c r="A31" s="85" t="s">
        <v>702</v>
      </c>
      <c r="B31" s="128"/>
      <c r="C31" s="400">
        <v>0</v>
      </c>
      <c r="D31" s="109">
        <v>30506714</v>
      </c>
      <c r="E31" s="109">
        <v>31370950</v>
      </c>
      <c r="F31" s="109">
        <v>18191637</v>
      </c>
      <c r="G31" s="109">
        <v>18397822</v>
      </c>
      <c r="H31" s="399">
        <v>16215291</v>
      </c>
      <c r="I31" s="400">
        <v>11219199</v>
      </c>
      <c r="J31" s="109">
        <v>22686719</v>
      </c>
      <c r="K31" s="109">
        <v>17026753</v>
      </c>
      <c r="L31" s="109">
        <v>18635851</v>
      </c>
      <c r="M31" s="109">
        <v>16853325</v>
      </c>
      <c r="N31" s="528">
        <f t="shared" si="5"/>
        <v>47665473</v>
      </c>
      <c r="O31" s="561">
        <f t="shared" si="6"/>
        <v>248769734</v>
      </c>
      <c r="P31" s="240">
        <f>'B4-FinPerf RE'!K32</f>
        <v>248769734</v>
      </c>
      <c r="Q31" s="75">
        <f>'B4-FinPerf RE'!L32</f>
        <v>260959451</v>
      </c>
      <c r="R31" s="76">
        <f>'B4-FinPerf RE'!M32</f>
        <v>273746464.10000002</v>
      </c>
    </row>
    <row r="32" spans="1:18" ht="12.75" customHeight="1">
      <c r="A32" s="85" t="s">
        <v>703</v>
      </c>
      <c r="B32" s="128"/>
      <c r="C32" s="400"/>
      <c r="D32" s="109"/>
      <c r="E32" s="109"/>
      <c r="F32" s="109"/>
      <c r="G32" s="109"/>
      <c r="H32" s="399"/>
      <c r="I32" s="400" t="s">
        <v>1787</v>
      </c>
      <c r="J32" s="109" t="s">
        <v>1787</v>
      </c>
      <c r="K32" s="109" t="s">
        <v>1787</v>
      </c>
      <c r="L32" s="109" t="s">
        <v>1787</v>
      </c>
      <c r="M32" s="109" t="s">
        <v>1787</v>
      </c>
      <c r="N32" s="528">
        <f t="shared" si="5"/>
        <v>0</v>
      </c>
      <c r="O32" s="561">
        <f t="shared" si="6"/>
        <v>0</v>
      </c>
      <c r="P32" s="240">
        <f>'B4-FinPerf RE'!K33</f>
        <v>0</v>
      </c>
      <c r="Q32" s="75">
        <f>'B4-FinPerf RE'!L33</f>
        <v>0</v>
      </c>
      <c r="R32" s="76">
        <f>'B4-FinPerf RE'!M33</f>
        <v>0</v>
      </c>
    </row>
    <row r="33" spans="1:18" ht="12.75" customHeight="1">
      <c r="A33" s="85" t="s">
        <v>704</v>
      </c>
      <c r="B33" s="128"/>
      <c r="C33" s="400">
        <v>882263</v>
      </c>
      <c r="D33" s="109">
        <v>1927955</v>
      </c>
      <c r="E33" s="109">
        <v>3768803</v>
      </c>
      <c r="F33" s="109">
        <v>3115714</v>
      </c>
      <c r="G33" s="109">
        <v>2734566</v>
      </c>
      <c r="H33" s="399">
        <v>7145818</v>
      </c>
      <c r="I33" s="400">
        <v>2929300</v>
      </c>
      <c r="J33" s="109">
        <v>3146639</v>
      </c>
      <c r="K33" s="109">
        <v>3478160</v>
      </c>
      <c r="L33" s="109">
        <v>3218328</v>
      </c>
      <c r="M33" s="109">
        <v>3419614</v>
      </c>
      <c r="N33" s="528">
        <f t="shared" si="5"/>
        <v>3583712</v>
      </c>
      <c r="O33" s="561">
        <f t="shared" si="6"/>
        <v>39350872</v>
      </c>
      <c r="P33" s="240">
        <f>'B4-FinPerf RE'!K34</f>
        <v>39350872</v>
      </c>
      <c r="Q33" s="75">
        <f>'B4-FinPerf RE'!L34</f>
        <v>41353223</v>
      </c>
      <c r="R33" s="76">
        <f>'B4-FinPerf RE'!M34</f>
        <v>43396049</v>
      </c>
    </row>
    <row r="34" spans="1:18" ht="12.75" customHeight="1">
      <c r="A34" s="85" t="s">
        <v>603</v>
      </c>
      <c r="B34" s="128"/>
      <c r="C34" s="400">
        <v>1172541</v>
      </c>
      <c r="D34" s="109">
        <v>2815816</v>
      </c>
      <c r="E34" s="109">
        <v>1992723</v>
      </c>
      <c r="F34" s="109">
        <v>3063899</v>
      </c>
      <c r="G34" s="109">
        <v>3634548</v>
      </c>
      <c r="H34" s="399">
        <v>716681</v>
      </c>
      <c r="I34" s="400">
        <v>1998980</v>
      </c>
      <c r="J34" s="109">
        <v>2205540</v>
      </c>
      <c r="K34" s="109">
        <v>1151347</v>
      </c>
      <c r="L34" s="109">
        <v>3278047</v>
      </c>
      <c r="M34" s="109">
        <v>2499403</v>
      </c>
      <c r="N34" s="528">
        <f t="shared" si="5"/>
        <v>12245170</v>
      </c>
      <c r="O34" s="561">
        <f t="shared" si="6"/>
        <v>36774695</v>
      </c>
      <c r="P34" s="240">
        <f>'B4-FinPerf RE'!K35</f>
        <v>36774695</v>
      </c>
      <c r="Q34" s="75">
        <f>'B4-FinPerf RE'!L35</f>
        <v>35295231.390000001</v>
      </c>
      <c r="R34" s="76">
        <f>'B4-FinPerf RE'!M35</f>
        <v>35758531.719999999</v>
      </c>
    </row>
    <row r="35" spans="1:18" ht="12.75" customHeight="1">
      <c r="A35" s="85" t="s">
        <v>604</v>
      </c>
      <c r="B35" s="128"/>
      <c r="C35" s="400">
        <v>12316755</v>
      </c>
      <c r="D35" s="109">
        <v>14677829</v>
      </c>
      <c r="E35" s="109">
        <v>15902530</v>
      </c>
      <c r="F35" s="109">
        <v>14147992</v>
      </c>
      <c r="G35" s="109">
        <v>15923218</v>
      </c>
      <c r="H35" s="399">
        <v>12450580</v>
      </c>
      <c r="I35" s="400">
        <v>14872714</v>
      </c>
      <c r="J35" s="109">
        <v>10453095</v>
      </c>
      <c r="K35" s="109">
        <v>12768675</v>
      </c>
      <c r="L35" s="109">
        <v>18615180</v>
      </c>
      <c r="M35" s="109">
        <v>11154397</v>
      </c>
      <c r="N35" s="528">
        <f t="shared" si="5"/>
        <v>34340493</v>
      </c>
      <c r="O35" s="561">
        <f t="shared" si="6"/>
        <v>187623458</v>
      </c>
      <c r="P35" s="240">
        <f>'B4-FinPerf RE'!K36</f>
        <v>187623458</v>
      </c>
      <c r="Q35" s="75">
        <f>'B4-FinPerf RE'!L36</f>
        <v>188957524.31999999</v>
      </c>
      <c r="R35" s="76">
        <f>'B4-FinPerf RE'!M36</f>
        <v>198247207.34</v>
      </c>
    </row>
    <row r="36" spans="1:18" ht="12.75" customHeight="1">
      <c r="A36" s="85" t="s">
        <v>706</v>
      </c>
      <c r="B36" s="128"/>
      <c r="C36" s="400"/>
      <c r="D36" s="109"/>
      <c r="E36" s="109"/>
      <c r="F36" s="109"/>
      <c r="G36" s="109"/>
      <c r="H36" s="399"/>
      <c r="I36" s="400"/>
      <c r="J36" s="109"/>
      <c r="K36" s="109"/>
      <c r="L36" s="109"/>
      <c r="M36" s="109"/>
      <c r="N36" s="528">
        <f t="shared" si="5"/>
        <v>0</v>
      </c>
      <c r="O36" s="561">
        <f t="shared" si="6"/>
        <v>0</v>
      </c>
      <c r="P36" s="240">
        <f>'B4-FinPerf RE'!K37</f>
        <v>0</v>
      </c>
      <c r="Q36" s="75">
        <f>'B4-FinPerf RE'!L37</f>
        <v>0</v>
      </c>
      <c r="R36" s="76">
        <f>'B4-FinPerf RE'!M37</f>
        <v>0</v>
      </c>
    </row>
    <row r="37" spans="1:18" ht="12.75" customHeight="1">
      <c r="A37" s="138" t="s">
        <v>605</v>
      </c>
      <c r="B37" s="562"/>
      <c r="C37" s="505">
        <f>SUM(C26:C36)</f>
        <v>43261357</v>
      </c>
      <c r="D37" s="81">
        <f t="shared" ref="D37:R37" si="7">SUM(D26:D36)</f>
        <v>72959433</v>
      </c>
      <c r="E37" s="81">
        <f t="shared" si="7"/>
        <v>74600133</v>
      </c>
      <c r="F37" s="81">
        <f t="shared" si="7"/>
        <v>61112217</v>
      </c>
      <c r="G37" s="81">
        <f t="shared" si="7"/>
        <v>62242716</v>
      </c>
      <c r="H37" s="539">
        <f t="shared" si="7"/>
        <v>64863566</v>
      </c>
      <c r="I37" s="505">
        <f t="shared" si="7"/>
        <v>55329821</v>
      </c>
      <c r="J37" s="81">
        <f t="shared" si="7"/>
        <v>62410974</v>
      </c>
      <c r="K37" s="81">
        <f t="shared" si="7"/>
        <v>57750127</v>
      </c>
      <c r="L37" s="81">
        <f t="shared" si="7"/>
        <v>62331419</v>
      </c>
      <c r="M37" s="81">
        <f t="shared" si="7"/>
        <v>56789157</v>
      </c>
      <c r="N37" s="539">
        <f t="shared" si="7"/>
        <v>125873799</v>
      </c>
      <c r="O37" s="582">
        <f t="shared" si="7"/>
        <v>799524719</v>
      </c>
      <c r="P37" s="505">
        <f t="shared" si="7"/>
        <v>799524719</v>
      </c>
      <c r="Q37" s="81">
        <f t="shared" si="7"/>
        <v>839414243.47199988</v>
      </c>
      <c r="R37" s="82">
        <f t="shared" si="7"/>
        <v>881658584.98110008</v>
      </c>
    </row>
    <row r="38" spans="1:18" ht="5.0999999999999996" customHeight="1">
      <c r="A38" s="85"/>
      <c r="B38" s="128"/>
      <c r="C38" s="240"/>
      <c r="D38" s="75"/>
      <c r="E38" s="75"/>
      <c r="F38" s="75"/>
      <c r="G38" s="75"/>
      <c r="H38" s="528"/>
      <c r="I38" s="240"/>
      <c r="J38" s="75"/>
      <c r="K38" s="75"/>
      <c r="L38" s="75"/>
      <c r="M38" s="75"/>
      <c r="N38" s="528"/>
      <c r="O38" s="561"/>
      <c r="P38" s="240"/>
      <c r="Q38" s="75"/>
      <c r="R38" s="76"/>
    </row>
    <row r="39" spans="1:18" ht="12.75" customHeight="1">
      <c r="A39" s="162" t="s">
        <v>606</v>
      </c>
      <c r="B39" s="162"/>
      <c r="C39" s="505">
        <f t="shared" ref="C39:R39" si="8">C23-C37</f>
        <v>91598282</v>
      </c>
      <c r="D39" s="81">
        <f t="shared" si="8"/>
        <v>-24249433</v>
      </c>
      <c r="E39" s="81">
        <f t="shared" si="8"/>
        <v>-23862624</v>
      </c>
      <c r="F39" s="81">
        <f t="shared" si="8"/>
        <v>-13973419</v>
      </c>
      <c r="G39" s="81">
        <f t="shared" si="8"/>
        <v>-22269444</v>
      </c>
      <c r="H39" s="539">
        <f t="shared" si="8"/>
        <v>28885200</v>
      </c>
      <c r="I39" s="505">
        <f t="shared" si="8"/>
        <v>-8773727</v>
      </c>
      <c r="J39" s="81">
        <f t="shared" si="8"/>
        <v>-21312469</v>
      </c>
      <c r="K39" s="81">
        <f t="shared" si="8"/>
        <v>36935220</v>
      </c>
      <c r="L39" s="81">
        <f t="shared" si="8"/>
        <v>-22519290</v>
      </c>
      <c r="M39" s="81">
        <f t="shared" si="8"/>
        <v>-16057507</v>
      </c>
      <c r="N39" s="539">
        <f t="shared" si="8"/>
        <v>5566448.3799999952</v>
      </c>
      <c r="O39" s="582">
        <f t="shared" si="8"/>
        <v>9967237.3799999952</v>
      </c>
      <c r="P39" s="505">
        <f t="shared" si="8"/>
        <v>9967237.3799999952</v>
      </c>
      <c r="Q39" s="81">
        <f t="shared" si="8"/>
        <v>-7889517.7819998264</v>
      </c>
      <c r="R39" s="82">
        <f t="shared" si="8"/>
        <v>32006779.698899865</v>
      </c>
    </row>
    <row r="40" spans="1:18" ht="12.75" customHeight="1">
      <c r="A40" s="85" t="s">
        <v>607</v>
      </c>
      <c r="B40" s="128"/>
      <c r="C40" s="400">
        <v>2851000</v>
      </c>
      <c r="D40" s="109">
        <v>25602000</v>
      </c>
      <c r="E40" s="109">
        <v>3000000</v>
      </c>
      <c r="F40" s="109">
        <v>0</v>
      </c>
      <c r="G40" s="109">
        <v>35210000</v>
      </c>
      <c r="H40" s="399">
        <v>0</v>
      </c>
      <c r="I40" s="400" t="s">
        <v>1787</v>
      </c>
      <c r="J40" s="109">
        <v>1666667</v>
      </c>
      <c r="K40" s="109">
        <v>17620386</v>
      </c>
      <c r="L40" s="109" t="s">
        <v>1787</v>
      </c>
      <c r="M40" s="109" t="s">
        <v>1787</v>
      </c>
      <c r="N40" s="528">
        <f>P40-SUM(C40:M40)</f>
        <v>14717067</v>
      </c>
      <c r="O40" s="561"/>
      <c r="P40" s="240">
        <f>'B4-FinPerf RE'!K41</f>
        <v>100667120</v>
      </c>
      <c r="Q40" s="75">
        <f>'B4-FinPerf RE'!L41</f>
        <v>88664960</v>
      </c>
      <c r="R40" s="76">
        <f>'B4-FinPerf RE'!M41</f>
        <v>95512640</v>
      </c>
    </row>
    <row r="41" spans="1:18" ht="12.75" customHeight="1">
      <c r="A41" s="85" t="s">
        <v>707</v>
      </c>
      <c r="B41" s="128"/>
      <c r="C41" s="400"/>
      <c r="D41" s="109"/>
      <c r="E41" s="109"/>
      <c r="F41" s="109"/>
      <c r="G41" s="109"/>
      <c r="H41" s="399"/>
      <c r="I41" s="400"/>
      <c r="J41" s="109"/>
      <c r="K41" s="109"/>
      <c r="L41" s="109"/>
      <c r="M41" s="109"/>
      <c r="N41" s="528">
        <f>P41-SUM(C41:M41)</f>
        <v>0</v>
      </c>
      <c r="O41" s="561"/>
      <c r="P41" s="240">
        <f>'B4-FinPerf RE'!K42</f>
        <v>0</v>
      </c>
      <c r="Q41" s="75">
        <f>'B4-FinPerf RE'!L42</f>
        <v>0</v>
      </c>
      <c r="R41" s="76">
        <f>'B4-FinPerf RE'!M42</f>
        <v>0</v>
      </c>
    </row>
    <row r="42" spans="1:18" ht="12.75" customHeight="1">
      <c r="A42" s="85" t="s">
        <v>708</v>
      </c>
      <c r="B42" s="128"/>
      <c r="C42" s="400"/>
      <c r="D42" s="109"/>
      <c r="E42" s="109"/>
      <c r="F42" s="109"/>
      <c r="G42" s="109"/>
      <c r="H42" s="399"/>
      <c r="I42" s="400"/>
      <c r="J42" s="109"/>
      <c r="K42" s="109"/>
      <c r="L42" s="109"/>
      <c r="M42" s="109"/>
      <c r="N42" s="528">
        <f>P42-SUM(C42:M42)</f>
        <v>0</v>
      </c>
      <c r="O42" s="561"/>
      <c r="P42" s="240">
        <f>'B4-FinPerf RE'!K43</f>
        <v>0</v>
      </c>
      <c r="Q42" s="75">
        <f>'B4-FinPerf RE'!L43</f>
        <v>0</v>
      </c>
      <c r="R42" s="76">
        <f>'B4-FinPerf RE'!M43</f>
        <v>0</v>
      </c>
    </row>
    <row r="43" spans="1:18" ht="12.75" customHeight="1">
      <c r="A43" s="154" t="s">
        <v>609</v>
      </c>
      <c r="B43" s="154"/>
      <c r="C43" s="115">
        <f>C39+SUM(C40:C42)</f>
        <v>94449282</v>
      </c>
      <c r="D43" s="116">
        <f t="shared" ref="D43:R43" si="9">D39+SUM(D40:D42)</f>
        <v>1352567</v>
      </c>
      <c r="E43" s="116">
        <f t="shared" si="9"/>
        <v>-20862624</v>
      </c>
      <c r="F43" s="116">
        <f t="shared" si="9"/>
        <v>-13973419</v>
      </c>
      <c r="G43" s="116">
        <f t="shared" si="9"/>
        <v>12940556</v>
      </c>
      <c r="H43" s="543">
        <f t="shared" si="9"/>
        <v>28885200</v>
      </c>
      <c r="I43" s="115">
        <f t="shared" si="9"/>
        <v>-8773727</v>
      </c>
      <c r="J43" s="116">
        <f t="shared" si="9"/>
        <v>-19645802</v>
      </c>
      <c r="K43" s="116">
        <f t="shared" si="9"/>
        <v>54555606</v>
      </c>
      <c r="L43" s="116">
        <f t="shared" si="9"/>
        <v>-22519290</v>
      </c>
      <c r="M43" s="116">
        <f t="shared" si="9"/>
        <v>-16057507</v>
      </c>
      <c r="N43" s="543">
        <f t="shared" si="9"/>
        <v>20283515.379999995</v>
      </c>
      <c r="O43" s="564">
        <f t="shared" si="9"/>
        <v>9967237.3799999952</v>
      </c>
      <c r="P43" s="115">
        <f>P39+SUM(P40:P42)</f>
        <v>110634357.38</v>
      </c>
      <c r="Q43" s="116">
        <f t="shared" si="9"/>
        <v>80775442.218000174</v>
      </c>
      <c r="R43" s="117">
        <f t="shared" si="9"/>
        <v>127519419.69889987</v>
      </c>
    </row>
    <row r="44" spans="1:18" ht="12.75" customHeight="1">
      <c r="A44" s="565" t="str">
        <f>head27a</f>
        <v>References</v>
      </c>
      <c r="B44" s="579"/>
      <c r="C44" s="566"/>
      <c r="D44" s="566"/>
      <c r="E44" s="566"/>
      <c r="F44" s="566"/>
      <c r="G44" s="566"/>
      <c r="H44" s="566"/>
      <c r="I44" s="566"/>
      <c r="J44" s="566"/>
      <c r="K44" s="566"/>
      <c r="L44" s="566"/>
      <c r="M44" s="566"/>
      <c r="N44" s="566"/>
      <c r="O44" s="566"/>
      <c r="P44" s="566"/>
      <c r="Q44" s="566"/>
      <c r="R44" s="566"/>
    </row>
    <row r="45" spans="1:18" ht="12.75" customHeight="1">
      <c r="A45" s="99" t="s">
        <v>463</v>
      </c>
      <c r="B45" s="48"/>
      <c r="C45" s="48"/>
      <c r="D45" s="48"/>
      <c r="E45" s="48"/>
      <c r="F45" s="48"/>
      <c r="G45" s="48"/>
      <c r="H45" s="48"/>
      <c r="I45" s="48"/>
      <c r="J45" s="48"/>
      <c r="K45" s="48"/>
      <c r="L45" s="48"/>
      <c r="M45" s="48"/>
      <c r="N45" s="48"/>
      <c r="O45" s="48"/>
      <c r="P45" s="48"/>
      <c r="Q45" s="48"/>
      <c r="R45" s="48"/>
    </row>
    <row r="46" spans="1:18">
      <c r="A46" s="319" t="s">
        <v>5</v>
      </c>
      <c r="B46" s="319"/>
      <c r="P46" s="567">
        <f>P43-'B4-FinPerf RE'!K44</f>
        <v>0</v>
      </c>
      <c r="Q46" s="567">
        <f>Q43-'B4-FinPerf RE'!L44</f>
        <v>0</v>
      </c>
      <c r="R46" s="567">
        <f>R43-'B4-FinPerf RE'!M44</f>
        <v>0</v>
      </c>
    </row>
    <row r="55" spans="2:2">
      <c r="B55" s="127"/>
    </row>
  </sheetData>
  <mergeCells count="3">
    <mergeCell ref="A2:A3"/>
    <mergeCell ref="B2:B3"/>
    <mergeCell ref="C2:N2"/>
  </mergeCells>
  <phoneticPr fontId="17"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sheetPr codeName="Sheet105" enableFormatConditionsCalculation="0">
    <tabColor indexed="42"/>
    <pageSetUpPr fitToPage="1"/>
  </sheetPr>
  <dimension ref="A1:AT193"/>
  <sheetViews>
    <sheetView showGridLines="0" workbookViewId="0">
      <pane xSplit="2" ySplit="4" topLeftCell="L41" activePane="bottomRight" state="frozen"/>
      <selection activeCell="M17" sqref="M17:M63"/>
      <selection pane="topRight" activeCell="M17" sqref="M17:M63"/>
      <selection pane="bottomLeft" activeCell="M17" sqref="M17:M63"/>
      <selection pane="bottomRight" activeCell="R51" sqref="R51"/>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c r="A1" s="57" t="str">
        <f>muni&amp;" - "&amp;ADJB15&amp;" - "&amp;Date</f>
        <v>LIM333 Greater Tzaneen - Supporting Table SB15 Consolidated Adjustments Budget - monthly cash flow - 26 FEBRUARY 2014</v>
      </c>
      <c r="B1" s="57"/>
      <c r="D1" s="58"/>
    </row>
    <row r="2" spans="1:18" ht="25.5" customHeight="1">
      <c r="A2" s="1327" t="s">
        <v>464</v>
      </c>
      <c r="B2" s="1322" t="str">
        <f>head27</f>
        <v>Ref</v>
      </c>
      <c r="C2" s="1319" t="str">
        <f>Head2</f>
        <v>Budget Year 2013/14</v>
      </c>
      <c r="D2" s="1320"/>
      <c r="E2" s="1320"/>
      <c r="F2" s="1320"/>
      <c r="G2" s="1320"/>
      <c r="H2" s="1320"/>
      <c r="I2" s="1320"/>
      <c r="J2" s="1320"/>
      <c r="K2" s="1320"/>
      <c r="L2" s="1320"/>
      <c r="M2" s="1320"/>
      <c r="N2" s="1321"/>
      <c r="O2" s="548"/>
      <c r="P2" s="1319" t="str">
        <f>Head3a</f>
        <v>Medium Term Revenue and Expenditure Framework</v>
      </c>
      <c r="Q2" s="1320"/>
      <c r="R2" s="1362"/>
    </row>
    <row r="3" spans="1:18"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83" t="s">
        <v>643</v>
      </c>
      <c r="B4" s="104"/>
      <c r="C4" s="831" t="str">
        <f t="shared" ref="C4:H4" si="0">Head5A</f>
        <v>Outcome</v>
      </c>
      <c r="D4" s="832" t="str">
        <f t="shared" si="0"/>
        <v>Outcome</v>
      </c>
      <c r="E4" s="832" t="str">
        <f t="shared" si="0"/>
        <v>Outcome</v>
      </c>
      <c r="F4" s="832" t="str">
        <f t="shared" si="0"/>
        <v>Outcome</v>
      </c>
      <c r="G4" s="832" t="str">
        <f t="shared" si="0"/>
        <v>Outcome</v>
      </c>
      <c r="H4" s="833" t="str">
        <f t="shared" si="0"/>
        <v>Outcome</v>
      </c>
      <c r="I4" s="831" t="str">
        <f t="shared" ref="I4:N4" si="1">Head7</f>
        <v>Adjusted Budget</v>
      </c>
      <c r="J4" s="833" t="str">
        <f t="shared" si="1"/>
        <v>Adjusted Budget</v>
      </c>
      <c r="K4" s="832" t="str">
        <f t="shared" si="1"/>
        <v>Adjusted Budget</v>
      </c>
      <c r="L4" s="832" t="str">
        <f t="shared" si="1"/>
        <v>Adjusted Budget</v>
      </c>
      <c r="M4" s="832" t="str">
        <f t="shared" si="1"/>
        <v>Adjusted Budget</v>
      </c>
      <c r="N4" s="833" t="str">
        <f t="shared" si="1"/>
        <v>Adjusted Budget</v>
      </c>
      <c r="O4" s="557"/>
      <c r="P4" s="558" t="str">
        <f>Head7</f>
        <v>Adjusted Budget</v>
      </c>
      <c r="Q4" s="559" t="str">
        <f>Head7</f>
        <v>Adjusted Budget</v>
      </c>
      <c r="R4" s="560" t="str">
        <f>Head7</f>
        <v>Adjusted Budget</v>
      </c>
    </row>
    <row r="5" spans="1:18" ht="12.75" customHeight="1">
      <c r="A5" s="527" t="s">
        <v>465</v>
      </c>
      <c r="B5" s="128">
        <v>1</v>
      </c>
      <c r="C5" s="240"/>
      <c r="D5" s="75"/>
      <c r="E5" s="75"/>
      <c r="F5" s="75"/>
      <c r="G5" s="75"/>
      <c r="H5" s="528"/>
      <c r="I5" s="240"/>
      <c r="J5" s="75"/>
      <c r="K5" s="75"/>
      <c r="L5" s="75"/>
      <c r="M5" s="75"/>
      <c r="N5" s="528"/>
      <c r="O5" s="561"/>
      <c r="P5" s="666"/>
      <c r="Q5" s="75"/>
      <c r="R5" s="76"/>
    </row>
    <row r="6" spans="1:18" ht="12.6" customHeight="1">
      <c r="A6" s="128" t="s">
        <v>593</v>
      </c>
      <c r="B6" s="128"/>
      <c r="C6" s="400">
        <v>3883756</v>
      </c>
      <c r="D6" s="109">
        <v>5079522</v>
      </c>
      <c r="E6" s="109">
        <v>3511219</v>
      </c>
      <c r="F6" s="109">
        <v>4381138</v>
      </c>
      <c r="G6" s="109">
        <v>5078007</v>
      </c>
      <c r="H6" s="399">
        <v>4333709</v>
      </c>
      <c r="I6" s="400">
        <v>3638696</v>
      </c>
      <c r="J6" s="109">
        <v>4876985</v>
      </c>
      <c r="K6" s="109">
        <v>4875717</v>
      </c>
      <c r="L6" s="109">
        <v>4955034</v>
      </c>
      <c r="M6" s="109">
        <v>5340452</v>
      </c>
      <c r="N6" s="528">
        <f t="shared" ref="N6:N21" si="2">P6-SUM(C6:M6)</f>
        <v>5405765</v>
      </c>
      <c r="O6" s="561">
        <f t="shared" ref="O6:O21" si="3">SUM(C6:N6)</f>
        <v>55360000</v>
      </c>
      <c r="P6" s="400">
        <v>55360000</v>
      </c>
      <c r="Q6" s="109">
        <v>58072640</v>
      </c>
      <c r="R6" s="110">
        <v>60918199</v>
      </c>
    </row>
    <row r="7" spans="1:18" ht="12.6" customHeight="1">
      <c r="A7" s="128" t="s">
        <v>685</v>
      </c>
      <c r="B7" s="128"/>
      <c r="C7" s="400">
        <v>0</v>
      </c>
      <c r="D7" s="109"/>
      <c r="E7" s="109"/>
      <c r="F7" s="109"/>
      <c r="G7" s="109"/>
      <c r="H7" s="399"/>
      <c r="I7" s="400"/>
      <c r="J7" s="109"/>
      <c r="K7" s="109"/>
      <c r="L7" s="109"/>
      <c r="M7" s="109"/>
      <c r="N7" s="528">
        <f t="shared" si="2"/>
        <v>0</v>
      </c>
      <c r="O7" s="561">
        <f t="shared" si="3"/>
        <v>0</v>
      </c>
      <c r="P7" s="400"/>
      <c r="Q7" s="109"/>
      <c r="R7" s="110"/>
    </row>
    <row r="8" spans="1:18" ht="12.6" customHeight="1">
      <c r="A8" s="128" t="s">
        <v>686</v>
      </c>
      <c r="B8" s="128"/>
      <c r="C8" s="400">
        <v>32034259</v>
      </c>
      <c r="D8" s="109">
        <v>31030989</v>
      </c>
      <c r="E8" s="109">
        <v>44998074</v>
      </c>
      <c r="F8" s="109">
        <v>38792023</v>
      </c>
      <c r="G8" s="109">
        <v>33604649</v>
      </c>
      <c r="H8" s="399">
        <v>32838239</v>
      </c>
      <c r="I8" s="400">
        <v>28642940</v>
      </c>
      <c r="J8" s="109">
        <v>32981398</v>
      </c>
      <c r="K8" s="109">
        <v>35205800</v>
      </c>
      <c r="L8" s="109">
        <v>26808972</v>
      </c>
      <c r="M8" s="109">
        <v>32836521</v>
      </c>
      <c r="N8" s="528">
        <f t="shared" si="2"/>
        <v>9750620</v>
      </c>
      <c r="O8" s="561">
        <f t="shared" si="3"/>
        <v>379524484</v>
      </c>
      <c r="P8" s="400">
        <v>379524484</v>
      </c>
      <c r="Q8" s="109">
        <v>398121184</v>
      </c>
      <c r="R8" s="110">
        <v>417629122</v>
      </c>
    </row>
    <row r="9" spans="1:18" ht="12.6" customHeight="1">
      <c r="A9" s="128" t="s">
        <v>687</v>
      </c>
      <c r="B9" s="128"/>
      <c r="C9" s="400">
        <v>1453690</v>
      </c>
      <c r="D9" s="109">
        <v>1454069</v>
      </c>
      <c r="E9" s="109">
        <v>1300183</v>
      </c>
      <c r="F9" s="109">
        <v>1726515</v>
      </c>
      <c r="G9" s="109">
        <v>1410627</v>
      </c>
      <c r="H9" s="399">
        <v>1998672</v>
      </c>
      <c r="I9" s="400">
        <v>1538062</v>
      </c>
      <c r="J9" s="109">
        <v>2015878</v>
      </c>
      <c r="K9" s="109">
        <v>2230504</v>
      </c>
      <c r="L9" s="109">
        <v>1446786</v>
      </c>
      <c r="M9" s="109">
        <v>2356230</v>
      </c>
      <c r="N9" s="528">
        <f t="shared" si="2"/>
        <v>4443784</v>
      </c>
      <c r="O9" s="561">
        <f t="shared" si="3"/>
        <v>23375000</v>
      </c>
      <c r="P9" s="400">
        <v>23375000</v>
      </c>
      <c r="Q9" s="109">
        <v>24520375</v>
      </c>
      <c r="R9" s="110">
        <v>25721873</v>
      </c>
    </row>
    <row r="10" spans="1:18" ht="12.6" customHeight="1">
      <c r="A10" s="128" t="s">
        <v>688</v>
      </c>
      <c r="B10" s="128"/>
      <c r="C10" s="400">
        <v>362060</v>
      </c>
      <c r="D10" s="109">
        <v>465816</v>
      </c>
      <c r="E10" s="109">
        <v>220890</v>
      </c>
      <c r="F10" s="109">
        <v>418523</v>
      </c>
      <c r="G10" s="109">
        <v>406490</v>
      </c>
      <c r="H10" s="399">
        <v>1442316</v>
      </c>
      <c r="I10" s="400">
        <v>470638</v>
      </c>
      <c r="J10" s="109">
        <v>573642</v>
      </c>
      <c r="K10" s="109">
        <v>634235</v>
      </c>
      <c r="L10" s="109">
        <v>528244</v>
      </c>
      <c r="M10" s="109">
        <v>655349</v>
      </c>
      <c r="N10" s="528">
        <f t="shared" si="2"/>
        <v>381268</v>
      </c>
      <c r="O10" s="561">
        <f t="shared" si="3"/>
        <v>6559471</v>
      </c>
      <c r="P10" s="400">
        <v>6559471</v>
      </c>
      <c r="Q10" s="109">
        <v>6880885</v>
      </c>
      <c r="R10" s="110">
        <v>7218048</v>
      </c>
    </row>
    <row r="11" spans="1:18" ht="12.6" customHeight="1">
      <c r="A11" s="128" t="s">
        <v>246</v>
      </c>
      <c r="B11" s="128"/>
      <c r="C11" s="400">
        <v>1460129</v>
      </c>
      <c r="D11" s="109">
        <v>1746720</v>
      </c>
      <c r="E11" s="109">
        <v>1562853</v>
      </c>
      <c r="F11" s="109">
        <v>1856318</v>
      </c>
      <c r="G11" s="109">
        <v>1416720</v>
      </c>
      <c r="H11" s="399">
        <v>1983316</v>
      </c>
      <c r="I11" s="400">
        <v>1250204</v>
      </c>
      <c r="J11" s="109">
        <v>1889244</v>
      </c>
      <c r="K11" s="109">
        <v>1859119</v>
      </c>
      <c r="L11" s="109">
        <v>1932310</v>
      </c>
      <c r="M11" s="109">
        <v>2238215</v>
      </c>
      <c r="N11" s="528">
        <f t="shared" si="2"/>
        <v>1690301</v>
      </c>
      <c r="O11" s="561">
        <f t="shared" si="3"/>
        <v>20885449</v>
      </c>
      <c r="P11" s="400">
        <v>20885449</v>
      </c>
      <c r="Q11" s="109">
        <v>21908836</v>
      </c>
      <c r="R11" s="110">
        <v>22982368</v>
      </c>
    </row>
    <row r="12" spans="1:18" ht="12.6" customHeight="1">
      <c r="A12" s="128" t="s">
        <v>689</v>
      </c>
      <c r="B12" s="128"/>
      <c r="C12" s="400">
        <v>17225</v>
      </c>
      <c r="D12" s="109">
        <v>23224</v>
      </c>
      <c r="E12" s="109">
        <v>163255</v>
      </c>
      <c r="F12" s="109">
        <v>14000</v>
      </c>
      <c r="G12" s="109">
        <v>10525</v>
      </c>
      <c r="H12" s="399">
        <v>18730</v>
      </c>
      <c r="I12" s="400">
        <v>108893</v>
      </c>
      <c r="J12" s="109">
        <v>80216</v>
      </c>
      <c r="K12" s="109">
        <v>133981</v>
      </c>
      <c r="L12" s="109">
        <v>86902</v>
      </c>
      <c r="M12" s="109">
        <v>89214</v>
      </c>
      <c r="N12" s="528">
        <f>P12-SUM(C12:M12)</f>
        <v>619675</v>
      </c>
      <c r="O12" s="561">
        <f t="shared" si="3"/>
        <v>1365840</v>
      </c>
      <c r="P12" s="400">
        <v>1365840</v>
      </c>
      <c r="Q12" s="109">
        <v>1432766</v>
      </c>
      <c r="R12" s="110">
        <v>1502972</v>
      </c>
    </row>
    <row r="13" spans="1:18" ht="12.6" customHeight="1">
      <c r="A13" s="128" t="s">
        <v>690</v>
      </c>
      <c r="B13" s="128"/>
      <c r="C13" s="400">
        <v>1995</v>
      </c>
      <c r="D13" s="109">
        <v>2660</v>
      </c>
      <c r="E13" s="109">
        <v>570</v>
      </c>
      <c r="F13" s="109">
        <v>4180</v>
      </c>
      <c r="G13" s="109">
        <v>9555</v>
      </c>
      <c r="H13" s="399">
        <v>1425</v>
      </c>
      <c r="I13" s="400">
        <v>19028</v>
      </c>
      <c r="J13" s="109">
        <v>21912</v>
      </c>
      <c r="K13" s="109">
        <v>20973</v>
      </c>
      <c r="L13" s="109">
        <v>20822</v>
      </c>
      <c r="M13" s="109">
        <v>22174</v>
      </c>
      <c r="N13" s="528">
        <f t="shared" si="2"/>
        <v>133806</v>
      </c>
      <c r="O13" s="561">
        <f t="shared" si="3"/>
        <v>259100</v>
      </c>
      <c r="P13" s="400">
        <v>259100</v>
      </c>
      <c r="Q13" s="109">
        <v>271796</v>
      </c>
      <c r="R13" s="110">
        <v>285114</v>
      </c>
    </row>
    <row r="14" spans="1:18" ht="12.6" customHeight="1">
      <c r="A14" s="128" t="s">
        <v>691</v>
      </c>
      <c r="B14" s="128"/>
      <c r="C14" s="400">
        <v>0</v>
      </c>
      <c r="D14" s="109">
        <v>95690</v>
      </c>
      <c r="E14" s="109">
        <v>563137</v>
      </c>
      <c r="F14" s="109"/>
      <c r="G14" s="109"/>
      <c r="H14" s="399">
        <v>0</v>
      </c>
      <c r="I14" s="400">
        <v>647583</v>
      </c>
      <c r="J14" s="109">
        <v>94995</v>
      </c>
      <c r="K14" s="109" t="s">
        <v>1788</v>
      </c>
      <c r="L14" s="109" t="s">
        <v>1788</v>
      </c>
      <c r="M14" s="109" t="s">
        <v>1788</v>
      </c>
      <c r="N14" s="528">
        <f t="shared" si="2"/>
        <v>1599595</v>
      </c>
      <c r="O14" s="561">
        <f t="shared" si="3"/>
        <v>3001000</v>
      </c>
      <c r="P14" s="400">
        <v>3001000</v>
      </c>
      <c r="Q14" s="109">
        <v>3148049</v>
      </c>
      <c r="R14" s="110">
        <v>3302303</v>
      </c>
    </row>
    <row r="15" spans="1:18" ht="12.6" customHeight="1">
      <c r="A15" s="128" t="s">
        <v>692</v>
      </c>
      <c r="B15" s="128"/>
      <c r="C15" s="400">
        <v>0</v>
      </c>
      <c r="D15" s="109"/>
      <c r="E15" s="109"/>
      <c r="F15" s="109"/>
      <c r="G15" s="109"/>
      <c r="H15" s="399">
        <v>0</v>
      </c>
      <c r="I15" s="400">
        <v>1052080</v>
      </c>
      <c r="J15" s="109">
        <v>1189768</v>
      </c>
      <c r="K15" s="109">
        <v>1304430</v>
      </c>
      <c r="L15" s="109">
        <v>1298720</v>
      </c>
      <c r="M15" s="109">
        <v>1361531</v>
      </c>
      <c r="N15" s="528">
        <f t="shared" si="2"/>
        <v>9793471</v>
      </c>
      <c r="O15" s="561">
        <f t="shared" si="3"/>
        <v>16000000</v>
      </c>
      <c r="P15" s="400">
        <v>16000000</v>
      </c>
      <c r="Q15" s="109">
        <v>16784000</v>
      </c>
      <c r="R15" s="110">
        <v>17606416</v>
      </c>
    </row>
    <row r="16" spans="1:18" ht="12.6" customHeight="1">
      <c r="A16" s="128" t="s">
        <v>693</v>
      </c>
      <c r="B16" s="128"/>
      <c r="C16" s="400">
        <v>0</v>
      </c>
      <c r="D16" s="109">
        <v>0</v>
      </c>
      <c r="E16" s="109">
        <v>0</v>
      </c>
      <c r="F16" s="109">
        <v>0</v>
      </c>
      <c r="G16" s="109"/>
      <c r="H16" s="399">
        <v>0</v>
      </c>
      <c r="I16" s="400" t="s">
        <v>1788</v>
      </c>
      <c r="J16" s="109" t="s">
        <v>1788</v>
      </c>
      <c r="K16" s="109" t="s">
        <v>1788</v>
      </c>
      <c r="L16" s="109" t="s">
        <v>1788</v>
      </c>
      <c r="M16" s="109" t="s">
        <v>1788</v>
      </c>
      <c r="N16" s="528">
        <f t="shared" si="2"/>
        <v>0</v>
      </c>
      <c r="O16" s="561">
        <f t="shared" si="3"/>
        <v>0</v>
      </c>
      <c r="P16" s="400"/>
      <c r="Q16" s="109"/>
      <c r="R16" s="110"/>
    </row>
    <row r="17" spans="1:18" ht="12.6" customHeight="1">
      <c r="A17" s="128" t="s">
        <v>694</v>
      </c>
      <c r="B17" s="128"/>
      <c r="C17" s="400">
        <v>351573</v>
      </c>
      <c r="D17" s="109">
        <v>396275</v>
      </c>
      <c r="E17" s="109">
        <v>476864</v>
      </c>
      <c r="F17" s="109">
        <v>114772</v>
      </c>
      <c r="G17" s="109">
        <v>108798</v>
      </c>
      <c r="H17" s="399">
        <v>90737</v>
      </c>
      <c r="I17" s="400">
        <v>206052</v>
      </c>
      <c r="J17" s="109">
        <v>179015</v>
      </c>
      <c r="K17" s="109">
        <v>211305</v>
      </c>
      <c r="L17" s="109">
        <v>276404</v>
      </c>
      <c r="M17" s="109">
        <v>180511</v>
      </c>
      <c r="N17" s="528">
        <f t="shared" si="2"/>
        <v>617830</v>
      </c>
      <c r="O17" s="561">
        <f t="shared" si="3"/>
        <v>3210136</v>
      </c>
      <c r="P17" s="400">
        <v>3210136</v>
      </c>
      <c r="Q17" s="109">
        <v>3367433</v>
      </c>
      <c r="R17" s="110">
        <v>3532437</v>
      </c>
    </row>
    <row r="18" spans="1:18" ht="12.6" customHeight="1">
      <c r="A18" s="128" t="s">
        <v>695</v>
      </c>
      <c r="B18" s="128"/>
      <c r="C18" s="400">
        <v>32997</v>
      </c>
      <c r="D18" s="109">
        <v>40068</v>
      </c>
      <c r="E18" s="109">
        <v>68031</v>
      </c>
      <c r="F18" s="109">
        <v>54201</v>
      </c>
      <c r="G18" s="109">
        <v>53935</v>
      </c>
      <c r="H18" s="399">
        <v>35009</v>
      </c>
      <c r="I18" s="400">
        <v>20485</v>
      </c>
      <c r="J18" s="109">
        <v>34719</v>
      </c>
      <c r="K18" s="109">
        <v>31222</v>
      </c>
      <c r="L18" s="109">
        <v>36217</v>
      </c>
      <c r="M18" s="109">
        <v>29569</v>
      </c>
      <c r="N18" s="528">
        <f t="shared" si="2"/>
        <v>-91453</v>
      </c>
      <c r="O18" s="561">
        <f t="shared" si="3"/>
        <v>345000</v>
      </c>
      <c r="P18" s="400">
        <v>345000</v>
      </c>
      <c r="Q18" s="109">
        <v>361905</v>
      </c>
      <c r="R18" s="110">
        <v>379638</v>
      </c>
    </row>
    <row r="19" spans="1:18" ht="12.6" customHeight="1">
      <c r="A19" s="128" t="s">
        <v>696</v>
      </c>
      <c r="B19" s="128"/>
      <c r="C19" s="400">
        <v>3958693</v>
      </c>
      <c r="D19" s="109">
        <v>2567978</v>
      </c>
      <c r="E19" s="109">
        <v>3405588</v>
      </c>
      <c r="F19" s="109">
        <v>3882875</v>
      </c>
      <c r="G19" s="109">
        <v>2003630</v>
      </c>
      <c r="H19" s="399">
        <v>1387554</v>
      </c>
      <c r="I19" s="400">
        <v>3967171</v>
      </c>
      <c r="J19" s="109">
        <v>4123582</v>
      </c>
      <c r="K19" s="109">
        <v>2856972</v>
      </c>
      <c r="L19" s="109">
        <v>4414359</v>
      </c>
      <c r="M19" s="109">
        <v>4414359</v>
      </c>
      <c r="N19" s="528">
        <f t="shared" si="2"/>
        <v>8536589</v>
      </c>
      <c r="O19" s="561">
        <f t="shared" si="3"/>
        <v>45519350</v>
      </c>
      <c r="P19" s="400">
        <v>45519350</v>
      </c>
      <c r="Q19" s="109">
        <v>47749798</v>
      </c>
      <c r="R19" s="110">
        <v>50089538</v>
      </c>
    </row>
    <row r="20" spans="1:18" ht="12.6" customHeight="1">
      <c r="A20" s="128" t="s">
        <v>518</v>
      </c>
      <c r="B20" s="128"/>
      <c r="C20" s="400">
        <v>89784000</v>
      </c>
      <c r="D20" s="109">
        <v>1574000</v>
      </c>
      <c r="E20" s="109">
        <v>2000000</v>
      </c>
      <c r="F20" s="109">
        <v>1200000</v>
      </c>
      <c r="G20" s="109">
        <v>1513000</v>
      </c>
      <c r="H20" s="399">
        <v>54280000</v>
      </c>
      <c r="I20" s="400">
        <v>2415385</v>
      </c>
      <c r="J20" s="109">
        <v>2819778</v>
      </c>
      <c r="K20" s="109">
        <v>83255717</v>
      </c>
      <c r="L20" s="109" t="s">
        <v>1788</v>
      </c>
      <c r="M20" s="109" t="s">
        <v>1788</v>
      </c>
      <c r="N20" s="528">
        <f t="shared" si="2"/>
        <v>29431579</v>
      </c>
      <c r="O20" s="561">
        <f t="shared" si="3"/>
        <v>268273459</v>
      </c>
      <c r="P20" s="400">
        <v>268273459</v>
      </c>
      <c r="Q20" s="109">
        <v>297932766</v>
      </c>
      <c r="R20" s="110">
        <v>353745899</v>
      </c>
    </row>
    <row r="21" spans="1:18" ht="12.6" customHeight="1">
      <c r="A21" s="128" t="s">
        <v>697</v>
      </c>
      <c r="B21" s="85"/>
      <c r="C21" s="400">
        <v>2849538</v>
      </c>
      <c r="D21" s="109">
        <v>25955269</v>
      </c>
      <c r="E21" s="109">
        <v>937248</v>
      </c>
      <c r="F21" s="109">
        <v>1739512</v>
      </c>
      <c r="G21" s="109">
        <v>4523314</v>
      </c>
      <c r="H21" s="399">
        <v>55022</v>
      </c>
      <c r="I21" s="400">
        <v>646484</v>
      </c>
      <c r="J21" s="109">
        <v>1677654</v>
      </c>
      <c r="K21" s="109">
        <v>3150232</v>
      </c>
      <c r="L21" s="109">
        <v>690117</v>
      </c>
      <c r="M21" s="109">
        <v>1049145</v>
      </c>
      <c r="N21" s="528">
        <f t="shared" si="2"/>
        <v>21480376</v>
      </c>
      <c r="O21" s="561">
        <f t="shared" si="3"/>
        <v>64753911</v>
      </c>
      <c r="P21" s="400">
        <f>26006297+9555000+3750000+12497614+7445000+5500000</f>
        <v>64753911</v>
      </c>
      <c r="Q21" s="109">
        <f>25464363+6500000</f>
        <v>31964363</v>
      </c>
      <c r="R21" s="110">
        <f>26052220+7000000</f>
        <v>33052220</v>
      </c>
    </row>
    <row r="22" spans="1:18" ht="12.75" customHeight="1">
      <c r="A22" s="138" t="s">
        <v>466</v>
      </c>
      <c r="B22" s="562"/>
      <c r="C22" s="304">
        <f t="shared" ref="C22:R22" si="4">SUM(C6:C21)</f>
        <v>136189915</v>
      </c>
      <c r="D22" s="150">
        <f t="shared" si="4"/>
        <v>70432280</v>
      </c>
      <c r="E22" s="150">
        <f t="shared" si="4"/>
        <v>59207912</v>
      </c>
      <c r="F22" s="150">
        <f t="shared" si="4"/>
        <v>54184057</v>
      </c>
      <c r="G22" s="150">
        <f t="shared" si="4"/>
        <v>50139250</v>
      </c>
      <c r="H22" s="542">
        <f t="shared" si="4"/>
        <v>98464729</v>
      </c>
      <c r="I22" s="304">
        <f t="shared" si="4"/>
        <v>44623701</v>
      </c>
      <c r="J22" s="150">
        <f t="shared" si="4"/>
        <v>52558786</v>
      </c>
      <c r="K22" s="150">
        <f t="shared" si="4"/>
        <v>135770207</v>
      </c>
      <c r="L22" s="150">
        <f t="shared" si="4"/>
        <v>42494887</v>
      </c>
      <c r="M22" s="150">
        <f t="shared" si="4"/>
        <v>50573270</v>
      </c>
      <c r="N22" s="542">
        <f t="shared" si="4"/>
        <v>93793206</v>
      </c>
      <c r="O22" s="563">
        <f t="shared" si="4"/>
        <v>888432200</v>
      </c>
      <c r="P22" s="304">
        <f t="shared" si="4"/>
        <v>888432200</v>
      </c>
      <c r="Q22" s="150">
        <f t="shared" si="4"/>
        <v>912516796</v>
      </c>
      <c r="R22" s="151">
        <f t="shared" si="4"/>
        <v>997966147</v>
      </c>
    </row>
    <row r="23" spans="1:18" ht="5.0999999999999996" customHeight="1">
      <c r="A23" s="50"/>
      <c r="B23" s="85"/>
      <c r="C23" s="240"/>
      <c r="D23" s="75"/>
      <c r="E23" s="75"/>
      <c r="F23" s="75"/>
      <c r="G23" s="75"/>
      <c r="H23" s="528"/>
      <c r="I23" s="240"/>
      <c r="J23" s="75"/>
      <c r="K23" s="75"/>
      <c r="L23" s="75"/>
      <c r="M23" s="75"/>
      <c r="N23" s="528"/>
      <c r="O23" s="561"/>
      <c r="P23" s="240"/>
      <c r="Q23" s="75"/>
      <c r="R23" s="76"/>
    </row>
    <row r="24" spans="1:18" ht="12.75" customHeight="1">
      <c r="A24" s="556" t="s">
        <v>467</v>
      </c>
      <c r="B24" s="128"/>
      <c r="C24" s="240"/>
      <c r="D24" s="75"/>
      <c r="E24" s="75"/>
      <c r="F24" s="75"/>
      <c r="G24" s="75"/>
      <c r="H24" s="528"/>
      <c r="I24" s="240"/>
      <c r="J24" s="75"/>
      <c r="K24" s="75"/>
      <c r="L24" s="75"/>
      <c r="M24" s="75"/>
      <c r="N24" s="528"/>
      <c r="O24" s="561"/>
      <c r="P24" s="240"/>
      <c r="Q24" s="75"/>
      <c r="R24" s="76"/>
    </row>
    <row r="25" spans="1:18" ht="12.6" customHeight="1">
      <c r="A25" s="30" t="s">
        <v>773</v>
      </c>
      <c r="B25" s="128"/>
      <c r="C25" s="400">
        <v>2851000</v>
      </c>
      <c r="D25" s="109">
        <v>25602000</v>
      </c>
      <c r="E25" s="109">
        <v>3421700</v>
      </c>
      <c r="F25" s="109">
        <v>0</v>
      </c>
      <c r="G25" s="109">
        <v>35210000</v>
      </c>
      <c r="H25" s="399"/>
      <c r="I25" s="400">
        <v>285714</v>
      </c>
      <c r="J25" s="109">
        <v>3095238</v>
      </c>
      <c r="K25" s="109">
        <f>17620386+16581000</f>
        <v>34201386</v>
      </c>
      <c r="L25" s="109" t="s">
        <v>1788</v>
      </c>
      <c r="M25" s="109" t="s">
        <v>1788</v>
      </c>
      <c r="N25" s="528">
        <f t="shared" ref="N25:N33" si="5">P25-SUM(C25:M25)</f>
        <v>-38</v>
      </c>
      <c r="O25" s="561">
        <f>SUM(C25:N25)</f>
        <v>104667000</v>
      </c>
      <c r="P25" s="400">
        <f>84317000+2000000+18350000</f>
        <v>104667000</v>
      </c>
      <c r="Q25" s="109">
        <v>93165000</v>
      </c>
      <c r="R25" s="110">
        <v>100013000</v>
      </c>
    </row>
    <row r="26" spans="1:18" ht="12.6" customHeight="1">
      <c r="A26" s="128" t="s">
        <v>608</v>
      </c>
      <c r="B26" s="128"/>
      <c r="C26" s="400">
        <v>0</v>
      </c>
      <c r="D26" s="109">
        <v>0</v>
      </c>
      <c r="E26" s="109">
        <v>0</v>
      </c>
      <c r="F26" s="109">
        <v>0</v>
      </c>
      <c r="G26" s="109">
        <v>0</v>
      </c>
      <c r="H26" s="399">
        <v>0</v>
      </c>
      <c r="I26" s="400" t="s">
        <v>1788</v>
      </c>
      <c r="J26" s="109" t="s">
        <v>1788</v>
      </c>
      <c r="K26" s="109" t="s">
        <v>1788</v>
      </c>
      <c r="L26" s="109" t="s">
        <v>1788</v>
      </c>
      <c r="M26" s="109" t="s">
        <v>1788</v>
      </c>
      <c r="N26" s="528">
        <f t="shared" si="5"/>
        <v>0</v>
      </c>
      <c r="O26" s="561">
        <f>SUM(C26:N26)</f>
        <v>0</v>
      </c>
      <c r="P26" s="400"/>
      <c r="Q26" s="109"/>
      <c r="R26" s="110"/>
    </row>
    <row r="27" spans="1:18" ht="12.6" customHeight="1">
      <c r="A27" s="128" t="s">
        <v>786</v>
      </c>
      <c r="B27" s="128"/>
      <c r="C27" s="400">
        <v>0</v>
      </c>
      <c r="D27" s="109">
        <v>0</v>
      </c>
      <c r="E27" s="109">
        <v>0</v>
      </c>
      <c r="F27" s="109">
        <v>300</v>
      </c>
      <c r="G27" s="109">
        <v>0</v>
      </c>
      <c r="H27" s="399">
        <v>0</v>
      </c>
      <c r="I27" s="400" t="s">
        <v>1788</v>
      </c>
      <c r="J27" s="109" t="s">
        <v>1788</v>
      </c>
      <c r="K27" s="109" t="s">
        <v>1788</v>
      </c>
      <c r="L27" s="109" t="s">
        <v>1788</v>
      </c>
      <c r="M27" s="109" t="s">
        <v>1788</v>
      </c>
      <c r="N27" s="528">
        <f t="shared" si="5"/>
        <v>2299700</v>
      </c>
      <c r="O27" s="561">
        <f>SUM(C27:N27)</f>
        <v>2300000</v>
      </c>
      <c r="P27" s="400">
        <v>2300000</v>
      </c>
      <c r="Q27" s="109">
        <v>2412700</v>
      </c>
      <c r="R27" s="110">
        <v>2530922</v>
      </c>
    </row>
    <row r="28" spans="1:18" ht="12.6" customHeight="1">
      <c r="A28" s="128" t="s">
        <v>798</v>
      </c>
      <c r="B28" s="128"/>
      <c r="C28" s="400">
        <v>0</v>
      </c>
      <c r="D28" s="109">
        <v>0</v>
      </c>
      <c r="E28" s="109">
        <v>0</v>
      </c>
      <c r="F28" s="109">
        <v>0</v>
      </c>
      <c r="G28" s="109">
        <v>0</v>
      </c>
      <c r="H28" s="399">
        <v>0</v>
      </c>
      <c r="I28" s="400" t="s">
        <v>1788</v>
      </c>
      <c r="J28" s="109" t="s">
        <v>1788</v>
      </c>
      <c r="K28" s="109" t="s">
        <v>1788</v>
      </c>
      <c r="L28" s="109" t="s">
        <v>1788</v>
      </c>
      <c r="M28" s="109" t="s">
        <v>1788</v>
      </c>
      <c r="N28" s="528">
        <f t="shared" si="5"/>
        <v>0</v>
      </c>
      <c r="O28" s="561">
        <f>SUM(C28:N28)</f>
        <v>0</v>
      </c>
      <c r="P28" s="400"/>
      <c r="Q28" s="109"/>
      <c r="R28" s="110"/>
    </row>
    <row r="29" spans="1:18" ht="12.6" customHeight="1">
      <c r="A29" s="128" t="s">
        <v>799</v>
      </c>
      <c r="B29" s="128"/>
      <c r="C29" s="400">
        <v>0</v>
      </c>
      <c r="D29" s="109">
        <v>0</v>
      </c>
      <c r="E29" s="109">
        <v>0</v>
      </c>
      <c r="F29" s="109">
        <v>0</v>
      </c>
      <c r="G29" s="109">
        <v>0</v>
      </c>
      <c r="H29" s="399">
        <v>0</v>
      </c>
      <c r="I29" s="400"/>
      <c r="J29" s="109"/>
      <c r="K29" s="109"/>
      <c r="L29" s="109"/>
      <c r="M29" s="109"/>
      <c r="N29" s="528">
        <f t="shared" si="5"/>
        <v>0</v>
      </c>
      <c r="O29" s="561"/>
      <c r="P29" s="400"/>
      <c r="Q29" s="109"/>
      <c r="R29" s="110"/>
    </row>
    <row r="30" spans="1:18" ht="12.6" customHeight="1">
      <c r="A30" s="128" t="s">
        <v>800</v>
      </c>
      <c r="B30" s="128"/>
      <c r="C30" s="400">
        <v>25110</v>
      </c>
      <c r="D30" s="109">
        <v>19985</v>
      </c>
      <c r="E30" s="109">
        <v>37800</v>
      </c>
      <c r="F30" s="109">
        <v>29700</v>
      </c>
      <c r="G30" s="109">
        <v>13515</v>
      </c>
      <c r="H30" s="399">
        <v>17955</v>
      </c>
      <c r="I30" s="400">
        <v>2210</v>
      </c>
      <c r="J30" s="109">
        <v>8125</v>
      </c>
      <c r="K30" s="109">
        <v>18883</v>
      </c>
      <c r="L30" s="109">
        <v>8442</v>
      </c>
      <c r="M30" s="109">
        <v>8442</v>
      </c>
      <c r="N30" s="528">
        <f t="shared" si="5"/>
        <v>189833</v>
      </c>
      <c r="O30" s="561"/>
      <c r="P30" s="400">
        <v>380000</v>
      </c>
      <c r="Q30" s="109">
        <v>387600</v>
      </c>
      <c r="R30" s="110">
        <v>395352</v>
      </c>
    </row>
    <row r="31" spans="1:18" ht="12.6" customHeight="1">
      <c r="A31" s="128" t="s">
        <v>787</v>
      </c>
      <c r="B31" s="128"/>
      <c r="C31" s="400">
        <v>0</v>
      </c>
      <c r="D31" s="109">
        <v>0</v>
      </c>
      <c r="E31" s="109">
        <v>0</v>
      </c>
      <c r="F31" s="109">
        <v>0</v>
      </c>
      <c r="G31" s="109">
        <v>0</v>
      </c>
      <c r="H31" s="399">
        <v>0</v>
      </c>
      <c r="I31" s="400" t="s">
        <v>1788</v>
      </c>
      <c r="J31" s="109" t="s">
        <v>1788</v>
      </c>
      <c r="K31" s="109" t="s">
        <v>1788</v>
      </c>
      <c r="L31" s="109" t="s">
        <v>1788</v>
      </c>
      <c r="M31" s="109" t="s">
        <v>1788</v>
      </c>
      <c r="N31" s="528">
        <f t="shared" si="5"/>
        <v>0</v>
      </c>
      <c r="O31" s="561"/>
      <c r="P31" s="400"/>
      <c r="Q31" s="109"/>
      <c r="R31" s="110"/>
    </row>
    <row r="32" spans="1:18" ht="12.6" customHeight="1">
      <c r="A32" s="128" t="s">
        <v>793</v>
      </c>
      <c r="B32" s="128"/>
      <c r="C32" s="400">
        <v>0</v>
      </c>
      <c r="D32" s="109">
        <v>0</v>
      </c>
      <c r="E32" s="109">
        <v>0</v>
      </c>
      <c r="F32" s="109">
        <v>0</v>
      </c>
      <c r="G32" s="109">
        <v>0</v>
      </c>
      <c r="H32" s="399">
        <v>0</v>
      </c>
      <c r="I32" s="400" t="s">
        <v>1788</v>
      </c>
      <c r="J32" s="109" t="s">
        <v>1788</v>
      </c>
      <c r="K32" s="109" t="s">
        <v>1788</v>
      </c>
      <c r="L32" s="109" t="s">
        <v>1788</v>
      </c>
      <c r="M32" s="109" t="s">
        <v>1788</v>
      </c>
      <c r="N32" s="528">
        <f t="shared" si="5"/>
        <v>0</v>
      </c>
      <c r="O32" s="561"/>
      <c r="P32" s="400"/>
      <c r="Q32" s="109"/>
      <c r="R32" s="110"/>
    </row>
    <row r="33" spans="1:19" ht="12.6" customHeight="1">
      <c r="A33" s="128" t="s">
        <v>794</v>
      </c>
      <c r="B33" s="128"/>
      <c r="C33" s="400"/>
      <c r="D33" s="109">
        <v>0</v>
      </c>
      <c r="E33" s="109">
        <v>0</v>
      </c>
      <c r="F33" s="109">
        <v>0</v>
      </c>
      <c r="G33" s="109">
        <v>0</v>
      </c>
      <c r="H33" s="399">
        <v>0</v>
      </c>
      <c r="I33" s="400" t="s">
        <v>1788</v>
      </c>
      <c r="J33" s="109" t="s">
        <v>1788</v>
      </c>
      <c r="K33" s="109" t="s">
        <v>1788</v>
      </c>
      <c r="L33" s="109" t="s">
        <v>1788</v>
      </c>
      <c r="M33" s="109" t="s">
        <v>1788</v>
      </c>
      <c r="N33" s="528">
        <f t="shared" si="5"/>
        <v>-1100000</v>
      </c>
      <c r="O33" s="561"/>
      <c r="P33" s="400">
        <v>-1100000</v>
      </c>
      <c r="Q33" s="109">
        <v>-1100000</v>
      </c>
      <c r="R33" s="110">
        <v>-1100000</v>
      </c>
    </row>
    <row r="34" spans="1:19" ht="12.75" customHeight="1">
      <c r="A34" s="162" t="s">
        <v>468</v>
      </c>
      <c r="B34" s="162"/>
      <c r="C34" s="505">
        <f t="shared" ref="C34:R34" si="6">SUM(C22:C33)</f>
        <v>139066025</v>
      </c>
      <c r="D34" s="81">
        <f t="shared" si="6"/>
        <v>96054265</v>
      </c>
      <c r="E34" s="81">
        <f t="shared" si="6"/>
        <v>62667412</v>
      </c>
      <c r="F34" s="81">
        <f t="shared" si="6"/>
        <v>54214057</v>
      </c>
      <c r="G34" s="81">
        <f t="shared" si="6"/>
        <v>85362765</v>
      </c>
      <c r="H34" s="539">
        <f t="shared" si="6"/>
        <v>98482684</v>
      </c>
      <c r="I34" s="505">
        <f t="shared" si="6"/>
        <v>44911625</v>
      </c>
      <c r="J34" s="81">
        <f t="shared" si="6"/>
        <v>55662149</v>
      </c>
      <c r="K34" s="81">
        <f t="shared" si="6"/>
        <v>169990476</v>
      </c>
      <c r="L34" s="81">
        <f t="shared" si="6"/>
        <v>42503329</v>
      </c>
      <c r="M34" s="81">
        <f t="shared" si="6"/>
        <v>50581712</v>
      </c>
      <c r="N34" s="539">
        <f t="shared" si="6"/>
        <v>95182701</v>
      </c>
      <c r="O34" s="582">
        <f t="shared" si="6"/>
        <v>995399200</v>
      </c>
      <c r="P34" s="505">
        <f t="shared" si="6"/>
        <v>994679200</v>
      </c>
      <c r="Q34" s="81">
        <f t="shared" si="6"/>
        <v>1007382096</v>
      </c>
      <c r="R34" s="82">
        <f t="shared" si="6"/>
        <v>1099805421</v>
      </c>
    </row>
    <row r="35" spans="1:19" ht="5.0999999999999996" customHeight="1">
      <c r="A35" s="584"/>
      <c r="B35" s="128"/>
      <c r="C35" s="240"/>
      <c r="D35" s="75"/>
      <c r="E35" s="75"/>
      <c r="F35" s="75"/>
      <c r="G35" s="75"/>
      <c r="H35" s="528"/>
      <c r="I35" s="240"/>
      <c r="J35" s="75"/>
      <c r="K35" s="75"/>
      <c r="L35" s="75"/>
      <c r="M35" s="75"/>
      <c r="N35" s="528"/>
      <c r="O35" s="561"/>
      <c r="P35" s="240"/>
      <c r="Q35" s="75"/>
      <c r="R35" s="76"/>
    </row>
    <row r="36" spans="1:19" ht="12.75" customHeight="1">
      <c r="A36" s="125" t="s">
        <v>469</v>
      </c>
      <c r="B36" s="128"/>
      <c r="C36" s="240"/>
      <c r="D36" s="75"/>
      <c r="E36" s="75"/>
      <c r="F36" s="75"/>
      <c r="G36" s="75"/>
      <c r="H36" s="528"/>
      <c r="I36" s="240"/>
      <c r="J36" s="75"/>
      <c r="K36" s="75"/>
      <c r="L36" s="75"/>
      <c r="M36" s="75"/>
      <c r="N36" s="528"/>
      <c r="O36" s="561"/>
      <c r="P36" s="240"/>
      <c r="Q36" s="75"/>
      <c r="R36" s="76"/>
    </row>
    <row r="37" spans="1:19" ht="12.6" customHeight="1">
      <c r="A37" s="128" t="s">
        <v>700</v>
      </c>
      <c r="B37" s="128"/>
      <c r="C37" s="400">
        <v>24608611</v>
      </c>
      <c r="D37" s="109">
        <v>21135013</v>
      </c>
      <c r="E37" s="109">
        <v>18823832</v>
      </c>
      <c r="F37" s="109">
        <v>19988705</v>
      </c>
      <c r="G37" s="109">
        <v>18863555</v>
      </c>
      <c r="H37" s="399">
        <v>19777954</v>
      </c>
      <c r="I37" s="400">
        <v>18125629</v>
      </c>
      <c r="J37" s="109">
        <v>17299516</v>
      </c>
      <c r="K37" s="109">
        <v>19372184</v>
      </c>
      <c r="L37" s="109">
        <v>19088821</v>
      </c>
      <c r="M37" s="109">
        <v>18252093</v>
      </c>
      <c r="N37" s="528">
        <f t="shared" ref="N37:N47" si="7">P37-SUM(C37:M37)</f>
        <v>21336032</v>
      </c>
      <c r="O37" s="561">
        <f t="shared" ref="O37:O42" si="8">SUM(C37:N37)</f>
        <v>236671945</v>
      </c>
      <c r="P37" s="400">
        <v>236671945</v>
      </c>
      <c r="Q37" s="109">
        <v>248135083</v>
      </c>
      <c r="R37" s="110">
        <v>260293702</v>
      </c>
    </row>
    <row r="38" spans="1:19" ht="12.6" customHeight="1">
      <c r="A38" s="128" t="s">
        <v>599</v>
      </c>
      <c r="B38" s="128"/>
      <c r="C38" s="400">
        <v>1479020</v>
      </c>
      <c r="D38" s="109">
        <v>1478343</v>
      </c>
      <c r="E38" s="109">
        <v>1484580</v>
      </c>
      <c r="F38" s="109">
        <v>1477024</v>
      </c>
      <c r="G38" s="109">
        <v>1476398</v>
      </c>
      <c r="H38" s="399">
        <v>1478081</v>
      </c>
      <c r="I38" s="400">
        <v>1543947</v>
      </c>
      <c r="J38" s="109">
        <v>1585303</v>
      </c>
      <c r="K38" s="109">
        <v>1560932</v>
      </c>
      <c r="L38" s="109">
        <v>1550922</v>
      </c>
      <c r="M38" s="109">
        <v>1575982</v>
      </c>
      <c r="N38" s="528">
        <f t="shared" si="7"/>
        <v>1928162</v>
      </c>
      <c r="O38" s="561">
        <f t="shared" si="8"/>
        <v>18618694</v>
      </c>
      <c r="P38" s="400">
        <v>18618694</v>
      </c>
      <c r="Q38" s="109">
        <v>19531010</v>
      </c>
      <c r="R38" s="110">
        <v>20488029</v>
      </c>
    </row>
    <row r="39" spans="1:19" ht="12.6" customHeight="1">
      <c r="A39" s="128" t="s">
        <v>1331</v>
      </c>
      <c r="B39" s="128"/>
      <c r="C39" s="400">
        <v>0</v>
      </c>
      <c r="D39" s="109">
        <v>0</v>
      </c>
      <c r="E39" s="109">
        <v>79239</v>
      </c>
      <c r="F39" s="109">
        <v>0</v>
      </c>
      <c r="G39" s="109">
        <v>62699</v>
      </c>
      <c r="H39" s="399"/>
      <c r="I39" s="400">
        <v>49163</v>
      </c>
      <c r="J39" s="109">
        <v>89457</v>
      </c>
      <c r="K39" s="109">
        <v>189688</v>
      </c>
      <c r="L39" s="109">
        <v>0</v>
      </c>
      <c r="M39" s="109">
        <v>6864</v>
      </c>
      <c r="N39" s="528">
        <f t="shared" si="7"/>
        <v>122890</v>
      </c>
      <c r="O39" s="561">
        <f t="shared" si="8"/>
        <v>600000</v>
      </c>
      <c r="P39" s="400">
        <v>600000</v>
      </c>
      <c r="Q39" s="109">
        <v>629400</v>
      </c>
      <c r="R39" s="110">
        <v>660241</v>
      </c>
    </row>
    <row r="40" spans="1:19" ht="12.6" customHeight="1">
      <c r="A40" s="128" t="s">
        <v>470</v>
      </c>
      <c r="B40" s="128"/>
      <c r="C40" s="400">
        <v>122205</v>
      </c>
      <c r="D40" s="109">
        <v>0</v>
      </c>
      <c r="E40" s="109">
        <v>592213</v>
      </c>
      <c r="F40" s="109">
        <v>222646</v>
      </c>
      <c r="G40" s="109">
        <v>214851</v>
      </c>
      <c r="H40" s="399">
        <v>4570010</v>
      </c>
      <c r="I40" s="400">
        <v>3553267</v>
      </c>
      <c r="J40" s="109">
        <v>217483</v>
      </c>
      <c r="K40" s="109">
        <v>639135</v>
      </c>
      <c r="L40" s="109">
        <v>3922</v>
      </c>
      <c r="M40" s="109">
        <v>2324212</v>
      </c>
      <c r="N40" s="528">
        <f t="shared" si="7"/>
        <v>-528349</v>
      </c>
      <c r="O40" s="561">
        <f t="shared" si="8"/>
        <v>11931595</v>
      </c>
      <c r="P40" s="400">
        <v>11931595</v>
      </c>
      <c r="Q40" s="109">
        <v>12516243</v>
      </c>
      <c r="R40" s="110">
        <v>13129539</v>
      </c>
    </row>
    <row r="41" spans="1:19" ht="12.6" customHeight="1">
      <c r="A41" s="128" t="s">
        <v>471</v>
      </c>
      <c r="B41" s="128"/>
      <c r="C41" s="400">
        <v>31195135</v>
      </c>
      <c r="D41" s="109">
        <v>36652138</v>
      </c>
      <c r="E41" s="109">
        <v>35562902</v>
      </c>
      <c r="F41" s="109">
        <v>18191637</v>
      </c>
      <c r="G41" s="109">
        <v>21373381</v>
      </c>
      <c r="H41" s="399">
        <v>16215291</v>
      </c>
      <c r="I41" s="400">
        <v>14093209</v>
      </c>
      <c r="J41" s="109">
        <v>15757489</v>
      </c>
      <c r="K41" s="109">
        <v>15600619</v>
      </c>
      <c r="L41" s="109">
        <v>15065277</v>
      </c>
      <c r="M41" s="109">
        <v>12742668</v>
      </c>
      <c r="N41" s="528">
        <f t="shared" si="7"/>
        <v>16319988</v>
      </c>
      <c r="O41" s="561">
        <f t="shared" si="8"/>
        <v>248769734</v>
      </c>
      <c r="P41" s="400">
        <v>248769734</v>
      </c>
      <c r="Q41" s="109">
        <v>260959451</v>
      </c>
      <c r="R41" s="110">
        <v>273746464</v>
      </c>
    </row>
    <row r="42" spans="1:19" ht="12.6" customHeight="1">
      <c r="A42" s="30" t="s">
        <v>472</v>
      </c>
      <c r="B42" s="128"/>
      <c r="C42" s="400">
        <v>313981</v>
      </c>
      <c r="D42" s="109">
        <v>168034</v>
      </c>
      <c r="E42" s="109">
        <v>445441</v>
      </c>
      <c r="F42" s="109">
        <v>282112</v>
      </c>
      <c r="G42" s="109">
        <v>232138</v>
      </c>
      <c r="H42" s="399">
        <v>260203</v>
      </c>
      <c r="I42" s="400">
        <v>263336</v>
      </c>
      <c r="J42" s="109">
        <v>43798</v>
      </c>
      <c r="K42" s="109">
        <v>467270</v>
      </c>
      <c r="L42" s="109">
        <v>212240</v>
      </c>
      <c r="M42" s="109">
        <v>265031</v>
      </c>
      <c r="N42" s="528">
        <f t="shared" si="7"/>
        <v>-912024</v>
      </c>
      <c r="O42" s="561">
        <f t="shared" si="8"/>
        <v>2041560</v>
      </c>
      <c r="P42" s="400">
        <v>2041560</v>
      </c>
      <c r="Q42" s="109">
        <v>2141596</v>
      </c>
      <c r="R42" s="110">
        <v>2246535</v>
      </c>
      <c r="S42" s="168"/>
    </row>
    <row r="43" spans="1:19" ht="12.6" customHeight="1">
      <c r="A43" s="30" t="s">
        <v>703</v>
      </c>
      <c r="B43" s="128"/>
      <c r="C43" s="400">
        <v>0</v>
      </c>
      <c r="D43" s="109">
        <v>0</v>
      </c>
      <c r="E43" s="109">
        <v>0</v>
      </c>
      <c r="F43" s="109">
        <v>0</v>
      </c>
      <c r="G43" s="109">
        <v>0</v>
      </c>
      <c r="H43" s="399">
        <v>0</v>
      </c>
      <c r="I43" s="400">
        <v>0</v>
      </c>
      <c r="J43" s="109">
        <v>0</v>
      </c>
      <c r="K43" s="109">
        <v>0</v>
      </c>
      <c r="L43" s="109">
        <v>0</v>
      </c>
      <c r="M43" s="109">
        <v>0</v>
      </c>
      <c r="N43" s="528">
        <f t="shared" si="7"/>
        <v>0</v>
      </c>
      <c r="O43" s="561"/>
      <c r="P43" s="400"/>
      <c r="Q43" s="109"/>
      <c r="R43" s="110"/>
      <c r="S43" s="168"/>
    </row>
    <row r="44" spans="1:19" ht="12.6" customHeight="1">
      <c r="A44" s="30" t="s">
        <v>704</v>
      </c>
      <c r="B44" s="128"/>
      <c r="C44" s="400">
        <v>5835289</v>
      </c>
      <c r="D44" s="109">
        <v>2310995</v>
      </c>
      <c r="E44" s="109">
        <v>4269563</v>
      </c>
      <c r="F44" s="109">
        <v>3440234</v>
      </c>
      <c r="G44" s="109">
        <v>3277579</v>
      </c>
      <c r="H44" s="399">
        <v>7483638</v>
      </c>
      <c r="I44" s="400">
        <v>5610645</v>
      </c>
      <c r="J44" s="109">
        <v>1590133</v>
      </c>
      <c r="K44" s="109">
        <v>5027626</v>
      </c>
      <c r="L44" s="109">
        <v>1373153</v>
      </c>
      <c r="M44" s="109">
        <v>4659348</v>
      </c>
      <c r="N44" s="528">
        <f t="shared" si="7"/>
        <v>2035220</v>
      </c>
      <c r="O44" s="561">
        <f>SUM(C44:N44)</f>
        <v>46913423</v>
      </c>
      <c r="P44" s="400">
        <f>47078423-165000</f>
        <v>46913423</v>
      </c>
      <c r="Q44" s="109">
        <v>49385266</v>
      </c>
      <c r="R44" s="110">
        <v>51805144</v>
      </c>
    </row>
    <row r="45" spans="1:19" ht="12.6" customHeight="1">
      <c r="A45" s="30" t="s">
        <v>473</v>
      </c>
      <c r="B45" s="128"/>
      <c r="C45" s="400">
        <v>0</v>
      </c>
      <c r="D45" s="109">
        <v>0</v>
      </c>
      <c r="E45" s="109">
        <v>0</v>
      </c>
      <c r="F45" s="109">
        <v>0</v>
      </c>
      <c r="G45" s="109">
        <v>0</v>
      </c>
      <c r="H45" s="399">
        <v>0</v>
      </c>
      <c r="I45" s="400">
        <v>0</v>
      </c>
      <c r="J45" s="109">
        <v>0</v>
      </c>
      <c r="K45" s="109">
        <v>0</v>
      </c>
      <c r="L45" s="109">
        <v>0</v>
      </c>
      <c r="M45" s="109">
        <v>0</v>
      </c>
      <c r="N45" s="528">
        <f t="shared" si="7"/>
        <v>0</v>
      </c>
      <c r="O45" s="561"/>
      <c r="P45" s="400"/>
      <c r="Q45" s="109"/>
      <c r="R45" s="110"/>
    </row>
    <row r="46" spans="1:19" ht="12.6" customHeight="1">
      <c r="A46" s="30" t="s">
        <v>474</v>
      </c>
      <c r="B46" s="128"/>
      <c r="C46" s="400">
        <v>10401117</v>
      </c>
      <c r="D46" s="109">
        <v>2815816</v>
      </c>
      <c r="E46" s="109">
        <v>1992723</v>
      </c>
      <c r="F46" s="109">
        <v>3063899</v>
      </c>
      <c r="G46" s="109">
        <v>3634548</v>
      </c>
      <c r="H46" s="399">
        <v>716681</v>
      </c>
      <c r="I46" s="400">
        <v>527713</v>
      </c>
      <c r="J46" s="109">
        <v>2137223</v>
      </c>
      <c r="K46" s="109">
        <v>666012</v>
      </c>
      <c r="L46" s="109">
        <v>2335919</v>
      </c>
      <c r="M46" s="109">
        <v>3788712</v>
      </c>
      <c r="N46" s="528">
        <f t="shared" si="7"/>
        <v>10194332</v>
      </c>
      <c r="O46" s="561">
        <f>SUM(C46:N46)</f>
        <v>42274695</v>
      </c>
      <c r="P46" s="400">
        <f>31548695+5200000+26000+5500000</f>
        <v>42274695</v>
      </c>
      <c r="Q46" s="109">
        <f>35295231+6500000-25000</f>
        <v>41770231</v>
      </c>
      <c r="R46" s="110">
        <f>35758531+7000000-27500</f>
        <v>42731031</v>
      </c>
    </row>
    <row r="47" spans="1:19" ht="12.6" customHeight="1">
      <c r="A47" s="36" t="s">
        <v>1335</v>
      </c>
      <c r="B47" s="85"/>
      <c r="C47" s="400">
        <v>23297703</v>
      </c>
      <c r="D47" s="109">
        <v>9171712</v>
      </c>
      <c r="E47" s="109">
        <v>12171787</v>
      </c>
      <c r="F47" s="109">
        <v>21022298</v>
      </c>
      <c r="G47" s="109">
        <v>14677600</v>
      </c>
      <c r="H47" s="399">
        <v>16280218</v>
      </c>
      <c r="I47" s="400">
        <v>9963375</v>
      </c>
      <c r="J47" s="109">
        <v>10137242</v>
      </c>
      <c r="K47" s="109">
        <v>8503377</v>
      </c>
      <c r="L47" s="109">
        <v>24069453</v>
      </c>
      <c r="M47" s="109">
        <v>9722497</v>
      </c>
      <c r="N47" s="528">
        <f t="shared" si="7"/>
        <v>17419354</v>
      </c>
      <c r="O47" s="561">
        <f>SUM(C47:N47)</f>
        <v>176436616</v>
      </c>
      <c r="P47" s="400">
        <f>253143736+7445000+662000-270000-50000-177000-84317120</f>
        <v>176436616</v>
      </c>
      <c r="Q47" s="109">
        <f>283060886-93164960</f>
        <v>189895926</v>
      </c>
      <c r="R47" s="110">
        <f>300432372-100012640+181</f>
        <v>200419913</v>
      </c>
    </row>
    <row r="48" spans="1:19" ht="12.75" customHeight="1">
      <c r="A48" s="562" t="s">
        <v>469</v>
      </c>
      <c r="B48" s="562"/>
      <c r="C48" s="304">
        <f t="shared" ref="C48:R48" si="9">SUM(C37:C47)</f>
        <v>97253061</v>
      </c>
      <c r="D48" s="150">
        <f t="shared" si="9"/>
        <v>73732051</v>
      </c>
      <c r="E48" s="150">
        <f t="shared" si="9"/>
        <v>75422280</v>
      </c>
      <c r="F48" s="150">
        <f t="shared" si="9"/>
        <v>67688555</v>
      </c>
      <c r="G48" s="150">
        <f t="shared" si="9"/>
        <v>63812749</v>
      </c>
      <c r="H48" s="542">
        <f t="shared" si="9"/>
        <v>66782076</v>
      </c>
      <c r="I48" s="304">
        <f t="shared" si="9"/>
        <v>53730284</v>
      </c>
      <c r="J48" s="150">
        <f t="shared" si="9"/>
        <v>48857644</v>
      </c>
      <c r="K48" s="150">
        <f t="shared" si="9"/>
        <v>52026843</v>
      </c>
      <c r="L48" s="150">
        <f t="shared" si="9"/>
        <v>63699707</v>
      </c>
      <c r="M48" s="150">
        <f t="shared" si="9"/>
        <v>53337407</v>
      </c>
      <c r="N48" s="542">
        <f t="shared" si="9"/>
        <v>67915605</v>
      </c>
      <c r="O48" s="563">
        <f t="shared" si="9"/>
        <v>784258262</v>
      </c>
      <c r="P48" s="304">
        <f t="shared" si="9"/>
        <v>784258262</v>
      </c>
      <c r="Q48" s="150">
        <f t="shared" si="9"/>
        <v>824964206</v>
      </c>
      <c r="R48" s="151">
        <f t="shared" si="9"/>
        <v>865520598</v>
      </c>
    </row>
    <row r="49" spans="1:18" ht="5.0999999999999996" customHeight="1">
      <c r="A49" s="39"/>
      <c r="B49" s="85"/>
      <c r="C49" s="240"/>
      <c r="D49" s="75"/>
      <c r="E49" s="75"/>
      <c r="F49" s="75"/>
      <c r="G49" s="75"/>
      <c r="H49" s="528"/>
      <c r="I49" s="240"/>
      <c r="J49" s="75"/>
      <c r="K49" s="75"/>
      <c r="L49" s="75"/>
      <c r="M49" s="75"/>
      <c r="N49" s="528"/>
      <c r="O49" s="561"/>
      <c r="P49" s="240"/>
      <c r="Q49" s="75"/>
      <c r="R49" s="76"/>
    </row>
    <row r="50" spans="1:18" ht="12.75" customHeight="1">
      <c r="A50" s="51" t="s">
        <v>475</v>
      </c>
      <c r="B50" s="85"/>
      <c r="C50" s="240"/>
      <c r="D50" s="75"/>
      <c r="E50" s="75"/>
      <c r="F50" s="75"/>
      <c r="G50" s="75"/>
      <c r="H50" s="528"/>
      <c r="I50" s="240"/>
      <c r="J50" s="75"/>
      <c r="K50" s="75"/>
      <c r="L50" s="75"/>
      <c r="M50" s="75"/>
      <c r="N50" s="528"/>
      <c r="O50" s="561"/>
      <c r="P50" s="240"/>
      <c r="Q50" s="75"/>
      <c r="R50" s="76"/>
    </row>
    <row r="51" spans="1:18" ht="12.6" customHeight="1">
      <c r="A51" s="30" t="s">
        <v>795</v>
      </c>
      <c r="B51" s="128"/>
      <c r="C51" s="400">
        <v>51650431</v>
      </c>
      <c r="D51" s="109">
        <v>3531472</v>
      </c>
      <c r="E51" s="109">
        <v>12233687</v>
      </c>
      <c r="F51" s="109">
        <v>4078339</v>
      </c>
      <c r="G51" s="109">
        <v>8863410</v>
      </c>
      <c r="H51" s="399">
        <v>11789039</v>
      </c>
      <c r="I51" s="400">
        <v>248817</v>
      </c>
      <c r="J51" s="109">
        <v>8878444</v>
      </c>
      <c r="K51" s="109">
        <v>10999578</v>
      </c>
      <c r="L51" s="109">
        <v>5813299</v>
      </c>
      <c r="M51" s="109">
        <v>2559357</v>
      </c>
      <c r="N51" s="528">
        <f>P51-SUM(C51:M51)</f>
        <v>90129688</v>
      </c>
      <c r="O51" s="561">
        <f>SUM(C51:N51)</f>
        <v>210775561</v>
      </c>
      <c r="P51" s="1203">
        <v>210775561</v>
      </c>
      <c r="Q51" s="1207">
        <f>170602397+25000</f>
        <v>170627397</v>
      </c>
      <c r="R51" s="1213">
        <f>120712707+100012640+27500</f>
        <v>220752847</v>
      </c>
    </row>
    <row r="52" spans="1:18" ht="12.6" customHeight="1">
      <c r="A52" s="30" t="s">
        <v>801</v>
      </c>
      <c r="B52" s="128"/>
      <c r="C52" s="400">
        <v>197502</v>
      </c>
      <c r="D52" s="109">
        <v>92716</v>
      </c>
      <c r="E52" s="109">
        <v>103624</v>
      </c>
      <c r="F52" s="109">
        <v>97138</v>
      </c>
      <c r="G52" s="109">
        <v>104856</v>
      </c>
      <c r="H52" s="399">
        <v>4837608</v>
      </c>
      <c r="I52" s="400"/>
      <c r="J52" s="109"/>
      <c r="K52" s="109"/>
      <c r="L52" s="109"/>
      <c r="M52" s="109"/>
      <c r="N52" s="528">
        <f>P52-SUM(C52:M52)</f>
        <v>5088157</v>
      </c>
      <c r="O52" s="561">
        <f>SUM(C52:N52)</f>
        <v>10521601</v>
      </c>
      <c r="P52" s="1208">
        <v>10521601</v>
      </c>
      <c r="Q52" s="1209">
        <v>11790493</v>
      </c>
      <c r="R52" s="1212">
        <v>12618493</v>
      </c>
    </row>
    <row r="53" spans="1:18" ht="12.6" customHeight="1">
      <c r="A53" s="30" t="s">
        <v>476</v>
      </c>
      <c r="B53" s="128"/>
      <c r="C53" s="400">
        <v>30000000</v>
      </c>
      <c r="D53" s="109">
        <v>855619</v>
      </c>
      <c r="E53" s="109"/>
      <c r="F53" s="109"/>
      <c r="G53" s="109"/>
      <c r="H53" s="399"/>
      <c r="I53" s="400"/>
      <c r="J53" s="109"/>
      <c r="K53" s="109"/>
      <c r="L53" s="109"/>
      <c r="M53" s="109"/>
      <c r="N53" s="528">
        <f>P53-SUM(C53:M53)</f>
        <v>-30855619</v>
      </c>
      <c r="O53" s="561">
        <f>SUM(C53:N53)</f>
        <v>0</v>
      </c>
      <c r="P53" s="1210"/>
      <c r="Q53" s="1206"/>
      <c r="R53" s="1211"/>
    </row>
    <row r="54" spans="1:18" ht="12.75" customHeight="1">
      <c r="A54" s="585" t="s">
        <v>477</v>
      </c>
      <c r="B54" s="585"/>
      <c r="C54" s="304">
        <f t="shared" ref="C54:R54" si="10">SUM(C48:C53)</f>
        <v>179100994</v>
      </c>
      <c r="D54" s="150">
        <f t="shared" si="10"/>
        <v>78211858</v>
      </c>
      <c r="E54" s="150">
        <f t="shared" si="10"/>
        <v>87759591</v>
      </c>
      <c r="F54" s="150">
        <f t="shared" si="10"/>
        <v>71864032</v>
      </c>
      <c r="G54" s="150">
        <f t="shared" si="10"/>
        <v>72781015</v>
      </c>
      <c r="H54" s="542">
        <f t="shared" si="10"/>
        <v>83408723</v>
      </c>
      <c r="I54" s="304">
        <f t="shared" si="10"/>
        <v>53979101</v>
      </c>
      <c r="J54" s="150">
        <f t="shared" si="10"/>
        <v>57736088</v>
      </c>
      <c r="K54" s="150">
        <f t="shared" si="10"/>
        <v>63026421</v>
      </c>
      <c r="L54" s="150">
        <f t="shared" si="10"/>
        <v>69513006</v>
      </c>
      <c r="M54" s="150">
        <f t="shared" si="10"/>
        <v>55896764</v>
      </c>
      <c r="N54" s="542">
        <f t="shared" si="10"/>
        <v>132277831</v>
      </c>
      <c r="O54" s="563">
        <f t="shared" si="10"/>
        <v>1005555424</v>
      </c>
      <c r="P54" s="304">
        <f t="shared" si="10"/>
        <v>1005555424</v>
      </c>
      <c r="Q54" s="150">
        <f t="shared" si="10"/>
        <v>1007382096</v>
      </c>
      <c r="R54" s="151">
        <f t="shared" si="10"/>
        <v>1098891938</v>
      </c>
    </row>
    <row r="55" spans="1:18" s="587" customFormat="1" ht="5.0999999999999996" customHeight="1">
      <c r="A55" s="586"/>
      <c r="B55" s="573"/>
      <c r="C55" s="106"/>
      <c r="D55" s="500"/>
      <c r="E55" s="500"/>
      <c r="F55" s="500"/>
      <c r="G55" s="500"/>
      <c r="H55" s="574"/>
      <c r="I55" s="106"/>
      <c r="J55" s="500"/>
      <c r="K55" s="500"/>
      <c r="L55" s="500"/>
      <c r="M55" s="500"/>
      <c r="N55" s="574"/>
      <c r="O55" s="575"/>
      <c r="P55" s="106"/>
      <c r="Q55" s="500"/>
      <c r="R55" s="540"/>
    </row>
    <row r="56" spans="1:18" ht="12.75" customHeight="1">
      <c r="A56" s="305" t="s">
        <v>478</v>
      </c>
      <c r="B56" s="868"/>
      <c r="C56" s="236">
        <f t="shared" ref="C56:R56" si="11">C34-C54</f>
        <v>-40034969</v>
      </c>
      <c r="D56" s="237">
        <f t="shared" si="11"/>
        <v>17842407</v>
      </c>
      <c r="E56" s="237">
        <f t="shared" si="11"/>
        <v>-25092179</v>
      </c>
      <c r="F56" s="237">
        <f t="shared" si="11"/>
        <v>-17649975</v>
      </c>
      <c r="G56" s="237">
        <f t="shared" si="11"/>
        <v>12581750</v>
      </c>
      <c r="H56" s="538">
        <f t="shared" si="11"/>
        <v>15073961</v>
      </c>
      <c r="I56" s="236">
        <f t="shared" si="11"/>
        <v>-9067476</v>
      </c>
      <c r="J56" s="237">
        <f t="shared" si="11"/>
        <v>-2073939</v>
      </c>
      <c r="K56" s="237">
        <f t="shared" si="11"/>
        <v>106964055</v>
      </c>
      <c r="L56" s="237">
        <f t="shared" si="11"/>
        <v>-27009677</v>
      </c>
      <c r="M56" s="237">
        <f t="shared" si="11"/>
        <v>-5315052</v>
      </c>
      <c r="N56" s="538">
        <f t="shared" si="11"/>
        <v>-37095130</v>
      </c>
      <c r="O56" s="588">
        <f t="shared" si="11"/>
        <v>-10156224</v>
      </c>
      <c r="P56" s="236">
        <f>P34-P54</f>
        <v>-10876224</v>
      </c>
      <c r="Q56" s="237">
        <f t="shared" si="11"/>
        <v>0</v>
      </c>
      <c r="R56" s="238">
        <f t="shared" si="11"/>
        <v>913483</v>
      </c>
    </row>
    <row r="57" spans="1:18" ht="12.6" customHeight="1">
      <c r="A57" s="30" t="s">
        <v>479</v>
      </c>
      <c r="B57" s="128"/>
      <c r="C57" s="400">
        <v>10876224</v>
      </c>
      <c r="D57" s="75">
        <f t="shared" ref="D57:N57" si="12">C58</f>
        <v>-29158745</v>
      </c>
      <c r="E57" s="75">
        <f t="shared" si="12"/>
        <v>-11316338</v>
      </c>
      <c r="F57" s="75">
        <f t="shared" si="12"/>
        <v>-36408517</v>
      </c>
      <c r="G57" s="75">
        <f t="shared" si="12"/>
        <v>-54058492</v>
      </c>
      <c r="H57" s="528">
        <f t="shared" si="12"/>
        <v>-41476742</v>
      </c>
      <c r="I57" s="240">
        <f t="shared" si="12"/>
        <v>-26402781</v>
      </c>
      <c r="J57" s="75">
        <f t="shared" si="12"/>
        <v>-35470257</v>
      </c>
      <c r="K57" s="75">
        <f t="shared" si="12"/>
        <v>-37544196</v>
      </c>
      <c r="L57" s="75">
        <f t="shared" si="12"/>
        <v>69419859</v>
      </c>
      <c r="M57" s="75">
        <f t="shared" si="12"/>
        <v>42410182</v>
      </c>
      <c r="N57" s="528">
        <f t="shared" si="12"/>
        <v>37095130</v>
      </c>
      <c r="O57" s="561"/>
      <c r="P57" s="240">
        <f>C57</f>
        <v>10876224</v>
      </c>
      <c r="Q57" s="75">
        <f>P58</f>
        <v>0</v>
      </c>
      <c r="R57" s="76">
        <f>Q58</f>
        <v>0</v>
      </c>
    </row>
    <row r="58" spans="1:18" ht="12.6" customHeight="1">
      <c r="A58" s="589" t="s">
        <v>480</v>
      </c>
      <c r="B58" s="175"/>
      <c r="C58" s="590">
        <f t="shared" ref="C58:N58" si="13">C56+C57</f>
        <v>-29158745</v>
      </c>
      <c r="D58" s="177">
        <f t="shared" si="13"/>
        <v>-11316338</v>
      </c>
      <c r="E58" s="177">
        <f t="shared" si="13"/>
        <v>-36408517</v>
      </c>
      <c r="F58" s="177">
        <f t="shared" si="13"/>
        <v>-54058492</v>
      </c>
      <c r="G58" s="177">
        <f t="shared" si="13"/>
        <v>-41476742</v>
      </c>
      <c r="H58" s="591">
        <f t="shared" si="13"/>
        <v>-26402781</v>
      </c>
      <c r="I58" s="590">
        <f t="shared" si="13"/>
        <v>-35470257</v>
      </c>
      <c r="J58" s="177">
        <f t="shared" si="13"/>
        <v>-37544196</v>
      </c>
      <c r="K58" s="177">
        <f t="shared" si="13"/>
        <v>69419859</v>
      </c>
      <c r="L58" s="177">
        <f t="shared" si="13"/>
        <v>42410182</v>
      </c>
      <c r="M58" s="177">
        <f t="shared" si="13"/>
        <v>37095130</v>
      </c>
      <c r="N58" s="591">
        <f t="shared" si="13"/>
        <v>0</v>
      </c>
      <c r="O58" s="592"/>
      <c r="P58" s="590">
        <f>P56+P57</f>
        <v>0</v>
      </c>
      <c r="Q58" s="177">
        <f>Q56+Q57</f>
        <v>0</v>
      </c>
      <c r="R58" s="178">
        <f>R56+R57</f>
        <v>913483</v>
      </c>
    </row>
    <row r="59" spans="1:18" ht="10.5" customHeight="1">
      <c r="A59" s="665" t="s">
        <v>549</v>
      </c>
    </row>
    <row r="60" spans="1:18" ht="10.5" customHeight="1">
      <c r="A60" s="119" t="s">
        <v>792</v>
      </c>
    </row>
    <row r="61" spans="1:18" ht="10.5" customHeight="1"/>
    <row r="62" spans="1:18" ht="10.5" customHeight="1"/>
    <row r="64" spans="1:18">
      <c r="F64" s="84"/>
      <c r="G64" s="84"/>
      <c r="H64" s="84"/>
      <c r="I64" s="84"/>
      <c r="J64" s="84"/>
      <c r="K64" s="84"/>
      <c r="L64" s="84"/>
      <c r="M64" s="84"/>
      <c r="N64" s="84"/>
    </row>
    <row r="65" spans="6:18">
      <c r="F65" s="168">
        <f t="shared" ref="F65:R65" si="14">F48+F64</f>
        <v>67688555</v>
      </c>
      <c r="G65" s="168">
        <f t="shared" si="14"/>
        <v>63812749</v>
      </c>
      <c r="H65" s="168">
        <f t="shared" si="14"/>
        <v>66782076</v>
      </c>
      <c r="I65" s="168">
        <f t="shared" si="14"/>
        <v>53730284</v>
      </c>
      <c r="J65" s="168">
        <f t="shared" si="14"/>
        <v>48857644</v>
      </c>
      <c r="K65" s="168">
        <f t="shared" si="14"/>
        <v>52026843</v>
      </c>
      <c r="L65" s="168">
        <f t="shared" si="14"/>
        <v>63699707</v>
      </c>
      <c r="M65" s="168">
        <f t="shared" si="14"/>
        <v>53337407</v>
      </c>
      <c r="N65" s="168">
        <f t="shared" si="14"/>
        <v>67915605</v>
      </c>
      <c r="O65" s="168">
        <f t="shared" si="14"/>
        <v>784258262</v>
      </c>
      <c r="P65" s="168">
        <f t="shared" si="14"/>
        <v>784258262</v>
      </c>
      <c r="Q65" s="168">
        <f t="shared" si="14"/>
        <v>824964206</v>
      </c>
      <c r="R65" s="168">
        <f t="shared" si="14"/>
        <v>865520598</v>
      </c>
    </row>
    <row r="66" spans="6:18">
      <c r="F66" s="168">
        <f t="shared" ref="F66:R66" si="15">F56-F64</f>
        <v>-17649975</v>
      </c>
      <c r="G66" s="168">
        <f t="shared" si="15"/>
        <v>12581750</v>
      </c>
      <c r="H66" s="168">
        <f t="shared" si="15"/>
        <v>15073961</v>
      </c>
      <c r="I66" s="168">
        <f t="shared" si="15"/>
        <v>-9067476</v>
      </c>
      <c r="J66" s="168">
        <f t="shared" si="15"/>
        <v>-2073939</v>
      </c>
      <c r="K66" s="168">
        <f t="shared" si="15"/>
        <v>106964055</v>
      </c>
      <c r="L66" s="168">
        <f t="shared" si="15"/>
        <v>-27009677</v>
      </c>
      <c r="M66" s="168">
        <f t="shared" si="15"/>
        <v>-5315052</v>
      </c>
      <c r="N66" s="168">
        <f t="shared" si="15"/>
        <v>-37095130</v>
      </c>
      <c r="O66" s="168">
        <f t="shared" si="15"/>
        <v>-10156224</v>
      </c>
      <c r="P66" s="168">
        <f t="shared" si="15"/>
        <v>-10876224</v>
      </c>
      <c r="Q66" s="168">
        <f t="shared" si="15"/>
        <v>0</v>
      </c>
      <c r="R66" s="168">
        <f t="shared" si="15"/>
        <v>913483</v>
      </c>
    </row>
    <row r="191" spans="3:46">
      <c r="C191" s="102"/>
      <c r="D191" s="102"/>
      <c r="E191" s="102"/>
      <c r="F191" s="102"/>
      <c r="G191" s="102"/>
      <c r="H191" s="102"/>
      <c r="I191" s="102"/>
      <c r="J191" s="102"/>
      <c r="K191" s="102"/>
      <c r="L191" s="102"/>
      <c r="M191" s="102"/>
      <c r="O191" s="168"/>
      <c r="P191" s="168"/>
      <c r="Q191" s="168"/>
      <c r="R191" s="168"/>
      <c r="S191" s="168"/>
      <c r="T191" s="168"/>
      <c r="U191" s="168"/>
      <c r="AJ191" s="168"/>
      <c r="AK191" s="168"/>
      <c r="AL191" s="168"/>
      <c r="AM191" s="168"/>
      <c r="AN191" s="168"/>
      <c r="AO191" s="168"/>
      <c r="AP191" s="168"/>
      <c r="AQ191" s="168"/>
      <c r="AR191" s="168"/>
      <c r="AS191" s="168"/>
      <c r="AT191" s="168"/>
    </row>
    <row r="192" spans="3:46">
      <c r="O192" s="168"/>
      <c r="P192" s="168"/>
      <c r="Q192" s="168"/>
      <c r="R192" s="168"/>
      <c r="S192" s="168"/>
      <c r="T192" s="168"/>
      <c r="U192" s="168"/>
      <c r="AJ192" s="168"/>
      <c r="AK192" s="168"/>
      <c r="AL192" s="168"/>
      <c r="AM192" s="168"/>
      <c r="AN192" s="168"/>
      <c r="AO192" s="168"/>
      <c r="AP192" s="168"/>
      <c r="AQ192" s="168"/>
      <c r="AR192" s="168"/>
      <c r="AS192" s="168"/>
      <c r="AT192" s="168"/>
    </row>
    <row r="193" spans="15:46">
      <c r="O193" s="168"/>
      <c r="P193" s="168"/>
      <c r="Q193" s="168"/>
      <c r="R193" s="168"/>
      <c r="S193" s="168"/>
      <c r="T193" s="168"/>
      <c r="U193" s="168"/>
      <c r="AJ193" s="168"/>
      <c r="AK193" s="168"/>
      <c r="AL193" s="168"/>
      <c r="AM193" s="168"/>
      <c r="AN193" s="168"/>
      <c r="AO193" s="168"/>
      <c r="AP193" s="168"/>
      <c r="AQ193" s="168"/>
      <c r="AR193" s="168"/>
      <c r="AS193" s="168"/>
      <c r="AT193" s="168"/>
    </row>
  </sheetData>
  <sheetProtection sheet="1" objects="1" scenarios="1"/>
  <mergeCells count="4">
    <mergeCell ref="A2:A3"/>
    <mergeCell ref="P2:R2"/>
    <mergeCell ref="B2:B3"/>
    <mergeCell ref="C2:N2"/>
  </mergeCells>
  <phoneticPr fontId="17"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sheetPr codeName="Sheet106" enableFormatConditionsCalculation="0">
    <tabColor indexed="42"/>
    <pageSetUpPr fitToPage="1"/>
  </sheetPr>
  <dimension ref="A1:T56"/>
  <sheetViews>
    <sheetView showGridLines="0" workbookViewId="0">
      <pane xSplit="2" ySplit="4" topLeftCell="H35" activePane="bottomRight" state="frozen"/>
      <selection activeCell="M17" sqref="M17:M63"/>
      <selection pane="topRight" activeCell="M17" sqref="M17:M63"/>
      <selection pane="bottomLeft" activeCell="M17" sqref="M17:M63"/>
      <selection pane="bottomRight" activeCell="I11" sqref="I11:M11"/>
    </sheetView>
  </sheetViews>
  <sheetFormatPr defaultRowHeight="12.7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LIM333 Greater Tzaneen - Supporting Table SB16 Consolidated Adjustments Budget - monthly capital expenditure (municipal vote) - 26 FEBRUARY 2014</v>
      </c>
      <c r="B1" s="57"/>
      <c r="D1" s="58"/>
    </row>
    <row r="2" spans="1:19" ht="25.5">
      <c r="A2" s="1327" t="str">
        <f>desc&amp;" - Municipal Vote"</f>
        <v>Description - Municipal Vote</v>
      </c>
      <c r="B2" s="1322" t="str">
        <f>head27</f>
        <v>Ref</v>
      </c>
      <c r="C2" s="593" t="str">
        <f>Head2</f>
        <v>Budget Year 2013/14</v>
      </c>
      <c r="D2" s="550"/>
      <c r="E2" s="550"/>
      <c r="F2" s="550"/>
      <c r="G2" s="550"/>
      <c r="H2" s="550"/>
      <c r="I2" s="550"/>
      <c r="J2" s="550"/>
      <c r="K2" s="550"/>
      <c r="L2" s="550"/>
      <c r="M2" s="550"/>
      <c r="N2" s="550"/>
      <c r="O2" s="548"/>
      <c r="P2" s="549" t="s">
        <v>227</v>
      </c>
      <c r="Q2" s="550"/>
      <c r="R2" s="551"/>
    </row>
    <row r="3" spans="1:19"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9" ht="25.5">
      <c r="A4" s="556" t="s">
        <v>643</v>
      </c>
      <c r="B4" s="104"/>
      <c r="C4" s="837" t="str">
        <f t="shared" ref="C4:H4" si="0">Head5A</f>
        <v>Outcome</v>
      </c>
      <c r="D4" s="832" t="str">
        <f t="shared" si="0"/>
        <v>Outcome</v>
      </c>
      <c r="E4" s="832" t="str">
        <f t="shared" si="0"/>
        <v>Outcome</v>
      </c>
      <c r="F4" s="832" t="str">
        <f t="shared" si="0"/>
        <v>Outcome</v>
      </c>
      <c r="G4" s="832" t="str">
        <f t="shared" si="0"/>
        <v>Outcome</v>
      </c>
      <c r="H4" s="833" t="str">
        <f t="shared" si="0"/>
        <v>Outcome</v>
      </c>
      <c r="I4" s="831" t="str">
        <f t="shared" ref="I4:N4" si="1">Head7</f>
        <v>Adjusted Budget</v>
      </c>
      <c r="J4" s="833" t="str">
        <f t="shared" si="1"/>
        <v>Adjusted Budget</v>
      </c>
      <c r="K4" s="832" t="str">
        <f t="shared" si="1"/>
        <v>Adjusted Budget</v>
      </c>
      <c r="L4" s="832" t="str">
        <f t="shared" si="1"/>
        <v>Adjusted Budget</v>
      </c>
      <c r="M4" s="832" t="str">
        <f t="shared" si="1"/>
        <v>Adjusted Budget</v>
      </c>
      <c r="N4" s="833" t="str">
        <f t="shared" si="1"/>
        <v>Adjusted Budget</v>
      </c>
      <c r="O4" s="557"/>
      <c r="P4" s="558" t="str">
        <f>Head7</f>
        <v>Adjusted Budget</v>
      </c>
      <c r="Q4" s="559" t="str">
        <f>Head7</f>
        <v>Adjusted Budget</v>
      </c>
      <c r="R4" s="560" t="str">
        <f>Head7</f>
        <v>Adjusted Budget</v>
      </c>
    </row>
    <row r="5" spans="1:19" ht="12.75" customHeight="1">
      <c r="A5" s="527" t="s">
        <v>1248</v>
      </c>
      <c r="B5" s="128">
        <v>1</v>
      </c>
      <c r="C5" s="240"/>
      <c r="D5" s="75"/>
      <c r="E5" s="75"/>
      <c r="F5" s="75"/>
      <c r="G5" s="75"/>
      <c r="H5" s="528"/>
      <c r="I5" s="240"/>
      <c r="J5" s="75"/>
      <c r="K5" s="75"/>
      <c r="L5" s="75"/>
      <c r="M5" s="75"/>
      <c r="N5" s="528"/>
      <c r="O5" s="561"/>
      <c r="P5" s="240"/>
      <c r="Q5" s="75"/>
      <c r="R5" s="76"/>
      <c r="S5" s="127"/>
    </row>
    <row r="6" spans="1:19" ht="12.75" customHeight="1">
      <c r="A6" s="128" t="str">
        <f>'B5-Capex'!A8</f>
        <v>Vote 1 - Municipal Manager</v>
      </c>
      <c r="B6" s="128"/>
      <c r="C6" s="400">
        <v>0</v>
      </c>
      <c r="D6" s="109">
        <v>0</v>
      </c>
      <c r="E6" s="109">
        <v>0</v>
      </c>
      <c r="F6" s="109">
        <v>0</v>
      </c>
      <c r="G6" s="109">
        <v>3099</v>
      </c>
      <c r="H6" s="399">
        <v>0</v>
      </c>
      <c r="I6" s="400" t="s">
        <v>1787</v>
      </c>
      <c r="J6" s="109" t="s">
        <v>1787</v>
      </c>
      <c r="K6" s="109"/>
      <c r="L6" s="109"/>
      <c r="M6" s="109"/>
      <c r="N6" s="528">
        <f t="shared" ref="N6:N20" si="2">P6-SUM(C6:M6)</f>
        <v>35901</v>
      </c>
      <c r="O6" s="561"/>
      <c r="P6" s="240">
        <f>'B5-Capex'!K8</f>
        <v>39000</v>
      </c>
      <c r="Q6" s="75">
        <f>'B5-Capex'!L8</f>
        <v>850000</v>
      </c>
      <c r="R6" s="76">
        <f>'B5-Capex'!M8</f>
        <v>550000</v>
      </c>
      <c r="S6" s="127"/>
    </row>
    <row r="7" spans="1:19" ht="12.75" customHeight="1">
      <c r="A7" s="128" t="str">
        <f>'B5-Capex'!A9</f>
        <v>Vote 2 - Planning &amp; Economic Development</v>
      </c>
      <c r="B7" s="128"/>
      <c r="C7" s="400">
        <v>0</v>
      </c>
      <c r="D7" s="109">
        <v>0</v>
      </c>
      <c r="E7" s="109">
        <v>16900</v>
      </c>
      <c r="F7" s="109">
        <v>0</v>
      </c>
      <c r="G7" s="109">
        <v>57756</v>
      </c>
      <c r="H7" s="399">
        <v>901413</v>
      </c>
      <c r="I7" s="400">
        <v>40000</v>
      </c>
      <c r="J7" s="109">
        <v>0</v>
      </c>
      <c r="K7" s="109">
        <v>300000</v>
      </c>
      <c r="L7" s="109">
        <v>0</v>
      </c>
      <c r="M7" s="109">
        <v>0</v>
      </c>
      <c r="N7" s="528">
        <f t="shared" si="2"/>
        <v>31468931</v>
      </c>
      <c r="O7" s="561"/>
      <c r="P7" s="240">
        <f>'B5-Capex'!K9</f>
        <v>32785000</v>
      </c>
      <c r="Q7" s="75">
        <f>'B5-Capex'!L9</f>
        <v>5525000</v>
      </c>
      <c r="R7" s="76">
        <f>'B5-Capex'!M9</f>
        <v>14027500</v>
      </c>
      <c r="S7" s="127"/>
    </row>
    <row r="8" spans="1:19" ht="12.75" customHeight="1">
      <c r="A8" s="128" t="str">
        <f>'B5-Capex'!A10</f>
        <v>Vote 3 - Financial Services</v>
      </c>
      <c r="B8" s="128"/>
      <c r="C8" s="400">
        <v>63970</v>
      </c>
      <c r="D8" s="109">
        <v>0</v>
      </c>
      <c r="E8" s="109">
        <v>0</v>
      </c>
      <c r="F8" s="109">
        <v>0</v>
      </c>
      <c r="G8" s="109">
        <v>0</v>
      </c>
      <c r="H8" s="399">
        <v>0</v>
      </c>
      <c r="I8" s="400"/>
      <c r="J8" s="109"/>
      <c r="K8" s="109"/>
      <c r="L8" s="109"/>
      <c r="M8" s="109"/>
      <c r="N8" s="528">
        <f t="shared" si="2"/>
        <v>36030</v>
      </c>
      <c r="O8" s="561"/>
      <c r="P8" s="240">
        <f>'B5-Capex'!K10</f>
        <v>100000</v>
      </c>
      <c r="Q8" s="75">
        <f>'B5-Capex'!L10</f>
        <v>500000</v>
      </c>
      <c r="R8" s="76">
        <f>'B5-Capex'!M10</f>
        <v>500000</v>
      </c>
      <c r="S8" s="127"/>
    </row>
    <row r="9" spans="1:19" ht="12.75" customHeight="1">
      <c r="A9" s="128" t="str">
        <f>'B5-Capex'!A11</f>
        <v>Vote 4 - Corporate Services</v>
      </c>
      <c r="B9" s="128"/>
      <c r="C9" s="400">
        <v>94460</v>
      </c>
      <c r="D9" s="109">
        <v>13185</v>
      </c>
      <c r="E9" s="109">
        <v>86000</v>
      </c>
      <c r="F9" s="109">
        <v>9468</v>
      </c>
      <c r="G9" s="109">
        <v>0</v>
      </c>
      <c r="H9" s="399">
        <v>13054</v>
      </c>
      <c r="I9" s="400">
        <v>0</v>
      </c>
      <c r="J9" s="109">
        <v>50000</v>
      </c>
      <c r="K9" s="109">
        <v>92000</v>
      </c>
      <c r="L9" s="109">
        <v>272500</v>
      </c>
      <c r="M9" s="109" t="s">
        <v>1787</v>
      </c>
      <c r="N9" s="528">
        <f t="shared" si="2"/>
        <v>109833</v>
      </c>
      <c r="O9" s="561"/>
      <c r="P9" s="240">
        <f>'B5-Capex'!K11</f>
        <v>740500</v>
      </c>
      <c r="Q9" s="75">
        <f>'B5-Capex'!L11</f>
        <v>1000000</v>
      </c>
      <c r="R9" s="76">
        <f>'B5-Capex'!M11</f>
        <v>500000</v>
      </c>
      <c r="S9" s="127"/>
    </row>
    <row r="10" spans="1:19" ht="12.75" customHeight="1">
      <c r="A10" s="128" t="str">
        <f>'B5-Capex'!A12</f>
        <v>Vote 5 - Community Services</v>
      </c>
      <c r="B10" s="128"/>
      <c r="C10" s="400"/>
      <c r="D10" s="109"/>
      <c r="E10" s="109"/>
      <c r="F10" s="109"/>
      <c r="G10" s="109"/>
      <c r="H10" s="399"/>
      <c r="I10" s="400" t="s">
        <v>1787</v>
      </c>
      <c r="J10" s="109" t="s">
        <v>1787</v>
      </c>
      <c r="K10" s="109" t="s">
        <v>1787</v>
      </c>
      <c r="L10" s="109" t="s">
        <v>1787</v>
      </c>
      <c r="M10" s="109" t="s">
        <v>1787</v>
      </c>
      <c r="N10" s="528">
        <f t="shared" si="2"/>
        <v>100000</v>
      </c>
      <c r="O10" s="561"/>
      <c r="P10" s="240">
        <f>'B5-Capex'!K12</f>
        <v>100000</v>
      </c>
      <c r="Q10" s="75">
        <f>'B5-Capex'!L12</f>
        <v>4025000</v>
      </c>
      <c r="R10" s="76">
        <f>'B5-Capex'!M12</f>
        <v>1430000</v>
      </c>
      <c r="S10" s="127"/>
    </row>
    <row r="11" spans="1:19" ht="12.75" customHeight="1">
      <c r="A11" s="128" t="str">
        <f>'B5-Capex'!A13</f>
        <v>Vote 6 - Community Services</v>
      </c>
      <c r="B11" s="128"/>
      <c r="C11" s="400"/>
      <c r="D11" s="109"/>
      <c r="E11" s="109"/>
      <c r="F11" s="109"/>
      <c r="G11" s="109"/>
      <c r="H11" s="399"/>
      <c r="I11" s="400"/>
      <c r="J11" s="109"/>
      <c r="K11" s="109"/>
      <c r="L11" s="109"/>
      <c r="M11" s="109"/>
      <c r="N11" s="528">
        <f t="shared" si="2"/>
        <v>30000</v>
      </c>
      <c r="O11" s="561"/>
      <c r="P11" s="240">
        <f>'B5-Capex'!K13</f>
        <v>30000</v>
      </c>
      <c r="Q11" s="75">
        <f>'B5-Capex'!L13</f>
        <v>500000</v>
      </c>
      <c r="R11" s="76">
        <f>'B5-Capex'!M13</f>
        <v>1035000</v>
      </c>
      <c r="S11" s="127"/>
    </row>
    <row r="12" spans="1:19" ht="12.75" customHeight="1">
      <c r="A12" s="128" t="str">
        <f>'B5-Capex'!A14</f>
        <v>Vote 7 - Electrical Engineering Services</v>
      </c>
      <c r="B12" s="128"/>
      <c r="C12" s="400">
        <v>73387</v>
      </c>
      <c r="D12" s="109">
        <v>1066532</v>
      </c>
      <c r="E12" s="109">
        <v>300425</v>
      </c>
      <c r="F12" s="109">
        <v>1428212</v>
      </c>
      <c r="G12" s="109">
        <v>1005772</v>
      </c>
      <c r="H12" s="399">
        <v>1490404</v>
      </c>
      <c r="I12" s="400">
        <v>4200000</v>
      </c>
      <c r="J12" s="109">
        <v>5570000</v>
      </c>
      <c r="K12" s="109">
        <v>9245000</v>
      </c>
      <c r="L12" s="109">
        <v>4300000</v>
      </c>
      <c r="M12" s="109">
        <v>4800000</v>
      </c>
      <c r="N12" s="528">
        <f t="shared" si="2"/>
        <v>2330268</v>
      </c>
      <c r="O12" s="561"/>
      <c r="P12" s="240">
        <f>'B5-Capex'!K14</f>
        <v>35810000</v>
      </c>
      <c r="Q12" s="75">
        <f>'B5-Capex'!L14</f>
        <v>43469120</v>
      </c>
      <c r="R12" s="76">
        <f>'B5-Capex'!M14</f>
        <v>75182130</v>
      </c>
      <c r="S12" s="127"/>
    </row>
    <row r="13" spans="1:19" ht="12.75" customHeight="1">
      <c r="A13" s="128" t="str">
        <f>'B5-Capex'!A15</f>
        <v>Vote 8 - Engineering Services</v>
      </c>
      <c r="B13" s="128"/>
      <c r="C13" s="400">
        <v>2214365</v>
      </c>
      <c r="D13" s="109">
        <v>2451755</v>
      </c>
      <c r="E13" s="109">
        <v>11830362</v>
      </c>
      <c r="F13" s="109">
        <v>2640658</v>
      </c>
      <c r="G13" s="109">
        <v>7796784</v>
      </c>
      <c r="H13" s="399">
        <v>9384167</v>
      </c>
      <c r="I13" s="400">
        <v>6397363</v>
      </c>
      <c r="J13" s="109">
        <v>6397363</v>
      </c>
      <c r="K13" s="109">
        <v>9146609</v>
      </c>
      <c r="L13" s="109">
        <v>6479942</v>
      </c>
      <c r="M13" s="109">
        <v>7479942</v>
      </c>
      <c r="N13" s="528">
        <f t="shared" si="2"/>
        <v>75658651</v>
      </c>
      <c r="O13" s="561"/>
      <c r="P13" s="240">
        <f>'B5-Capex'!K15</f>
        <v>147877961</v>
      </c>
      <c r="Q13" s="75">
        <f>'B5-Capex'!L15</f>
        <v>111143556</v>
      </c>
      <c r="R13" s="76">
        <f>'B5-Capex'!M15</f>
        <v>122528218</v>
      </c>
      <c r="S13" s="127"/>
    </row>
    <row r="14" spans="1:19" ht="12.75" customHeight="1">
      <c r="A14" s="128" t="str">
        <f>'B5-Capex'!A16</f>
        <v>Vote 9 - [NAME OF VOTE 9]</v>
      </c>
      <c r="B14" s="128"/>
      <c r="C14" s="400"/>
      <c r="D14" s="109"/>
      <c r="E14" s="109"/>
      <c r="F14" s="109"/>
      <c r="G14" s="109"/>
      <c r="H14" s="399"/>
      <c r="I14" s="400"/>
      <c r="J14" s="109"/>
      <c r="K14" s="109"/>
      <c r="L14" s="109"/>
      <c r="M14" s="109"/>
      <c r="N14" s="528">
        <f t="shared" si="2"/>
        <v>0</v>
      </c>
      <c r="O14" s="561"/>
      <c r="P14" s="240">
        <f>'B5-Capex'!K16</f>
        <v>0</v>
      </c>
      <c r="Q14" s="75">
        <f>'B5-Capex'!L16</f>
        <v>0</v>
      </c>
      <c r="R14" s="76">
        <f>'B5-Capex'!M16</f>
        <v>0</v>
      </c>
      <c r="S14" s="127"/>
    </row>
    <row r="15" spans="1:19" ht="12.75" customHeight="1">
      <c r="A15" s="128" t="str">
        <f>'B5-Capex'!A17</f>
        <v>Vote 10 - [NAME OF VOTE 10]</v>
      </c>
      <c r="B15" s="128"/>
      <c r="C15" s="400"/>
      <c r="D15" s="109"/>
      <c r="E15" s="109"/>
      <c r="F15" s="109"/>
      <c r="G15" s="109"/>
      <c r="H15" s="399"/>
      <c r="I15" s="400"/>
      <c r="J15" s="109"/>
      <c r="K15" s="109"/>
      <c r="L15" s="109"/>
      <c r="M15" s="109"/>
      <c r="N15" s="528">
        <f t="shared" si="2"/>
        <v>0</v>
      </c>
      <c r="O15" s="561"/>
      <c r="P15" s="240">
        <f>'B5-Capex'!K17</f>
        <v>0</v>
      </c>
      <c r="Q15" s="75">
        <f>'B5-Capex'!L17</f>
        <v>0</v>
      </c>
      <c r="R15" s="76">
        <f>'B5-Capex'!M17</f>
        <v>0</v>
      </c>
      <c r="S15" s="127"/>
    </row>
    <row r="16" spans="1:19" ht="12.75" customHeight="1">
      <c r="A16" s="128" t="str">
        <f>'B5-Capex'!A18</f>
        <v>Vote 11 - [NAME OF VOTE 11]</v>
      </c>
      <c r="B16" s="128"/>
      <c r="C16" s="400"/>
      <c r="D16" s="109"/>
      <c r="E16" s="109"/>
      <c r="F16" s="109"/>
      <c r="G16" s="109"/>
      <c r="H16" s="399"/>
      <c r="I16" s="400"/>
      <c r="J16" s="109"/>
      <c r="K16" s="109"/>
      <c r="L16" s="109"/>
      <c r="M16" s="109"/>
      <c r="N16" s="528">
        <f t="shared" si="2"/>
        <v>0</v>
      </c>
      <c r="O16" s="561"/>
      <c r="P16" s="240">
        <f>'B5-Capex'!K18</f>
        <v>0</v>
      </c>
      <c r="Q16" s="75">
        <f>'B5-Capex'!L18</f>
        <v>0</v>
      </c>
      <c r="R16" s="76">
        <f>'B5-Capex'!M18</f>
        <v>0</v>
      </c>
      <c r="S16" s="127"/>
    </row>
    <row r="17" spans="1:19" ht="12.75" customHeight="1">
      <c r="A17" s="128" t="str">
        <f>'B5-Capex'!A19</f>
        <v>Vote 12 - [NAME OF VOTE 12]</v>
      </c>
      <c r="B17" s="128"/>
      <c r="C17" s="400"/>
      <c r="D17" s="109"/>
      <c r="E17" s="109"/>
      <c r="F17" s="109"/>
      <c r="G17" s="109"/>
      <c r="H17" s="399"/>
      <c r="I17" s="400"/>
      <c r="J17" s="109"/>
      <c r="K17" s="109"/>
      <c r="L17" s="109"/>
      <c r="M17" s="109"/>
      <c r="N17" s="528">
        <f t="shared" si="2"/>
        <v>0</v>
      </c>
      <c r="O17" s="561"/>
      <c r="P17" s="240">
        <f>'B5-Capex'!K19</f>
        <v>0</v>
      </c>
      <c r="Q17" s="75">
        <f>'B5-Capex'!L19</f>
        <v>0</v>
      </c>
      <c r="R17" s="76">
        <f>'B5-Capex'!M19</f>
        <v>0</v>
      </c>
      <c r="S17" s="127"/>
    </row>
    <row r="18" spans="1:19" ht="12.75" customHeight="1">
      <c r="A18" s="128" t="str">
        <f>'B5-Capex'!A20</f>
        <v>Vote 13 - [NAME OF VOTE 13]</v>
      </c>
      <c r="B18" s="128"/>
      <c r="C18" s="400"/>
      <c r="D18" s="109"/>
      <c r="E18" s="109"/>
      <c r="F18" s="109"/>
      <c r="G18" s="109"/>
      <c r="H18" s="399"/>
      <c r="I18" s="400"/>
      <c r="J18" s="109"/>
      <c r="K18" s="109"/>
      <c r="L18" s="109"/>
      <c r="M18" s="109"/>
      <c r="N18" s="528">
        <f t="shared" si="2"/>
        <v>0</v>
      </c>
      <c r="O18" s="561"/>
      <c r="P18" s="240">
        <f>'B5-Capex'!K20</f>
        <v>0</v>
      </c>
      <c r="Q18" s="75">
        <f>'B5-Capex'!L20</f>
        <v>0</v>
      </c>
      <c r="R18" s="76">
        <f>'B5-Capex'!M20</f>
        <v>0</v>
      </c>
      <c r="S18" s="127"/>
    </row>
    <row r="19" spans="1:19" ht="12.75" customHeight="1">
      <c r="A19" s="128" t="str">
        <f>'B5-Capex'!A21</f>
        <v>Vote 14 - [NAME OF VOTE 14]</v>
      </c>
      <c r="B19" s="128"/>
      <c r="C19" s="400"/>
      <c r="D19" s="109"/>
      <c r="E19" s="109"/>
      <c r="F19" s="109"/>
      <c r="G19" s="109"/>
      <c r="H19" s="399"/>
      <c r="I19" s="400"/>
      <c r="J19" s="109"/>
      <c r="K19" s="109"/>
      <c r="L19" s="109"/>
      <c r="M19" s="109"/>
      <c r="N19" s="528">
        <f t="shared" si="2"/>
        <v>0</v>
      </c>
      <c r="O19" s="561"/>
      <c r="P19" s="240">
        <f>'B5-Capex'!K21</f>
        <v>0</v>
      </c>
      <c r="Q19" s="75">
        <f>'B5-Capex'!L21</f>
        <v>0</v>
      </c>
      <c r="R19" s="76">
        <f>'B5-Capex'!M21</f>
        <v>0</v>
      </c>
      <c r="S19" s="127"/>
    </row>
    <row r="20" spans="1:19" ht="12.75" customHeight="1">
      <c r="A20" s="128" t="str">
        <f>'B5-Capex'!A22</f>
        <v>Vote 15 - [NAME OF VOTE 15]</v>
      </c>
      <c r="B20" s="128"/>
      <c r="C20" s="400"/>
      <c r="D20" s="109"/>
      <c r="E20" s="109"/>
      <c r="F20" s="109"/>
      <c r="G20" s="109"/>
      <c r="H20" s="399"/>
      <c r="I20" s="400"/>
      <c r="J20" s="109"/>
      <c r="K20" s="109"/>
      <c r="L20" s="109"/>
      <c r="M20" s="109"/>
      <c r="N20" s="528">
        <f t="shared" si="2"/>
        <v>0</v>
      </c>
      <c r="O20" s="561"/>
      <c r="P20" s="240">
        <f>'B5-Capex'!K22</f>
        <v>0</v>
      </c>
      <c r="Q20" s="75">
        <f>'B5-Capex'!L22</f>
        <v>0</v>
      </c>
      <c r="R20" s="76">
        <f>'B5-Capex'!M22</f>
        <v>0</v>
      </c>
      <c r="S20" s="127"/>
    </row>
    <row r="21" spans="1:19" ht="12.75" customHeight="1">
      <c r="A21" s="778" t="s">
        <v>481</v>
      </c>
      <c r="B21" s="73">
        <v>3</v>
      </c>
      <c r="C21" s="594">
        <f t="shared" ref="C21:R21" si="3">SUM(C6:C20)</f>
        <v>2446182</v>
      </c>
      <c r="D21" s="595">
        <f t="shared" si="3"/>
        <v>3531472</v>
      </c>
      <c r="E21" s="595">
        <f t="shared" si="3"/>
        <v>12233687</v>
      </c>
      <c r="F21" s="595">
        <f t="shared" si="3"/>
        <v>4078338</v>
      </c>
      <c r="G21" s="595">
        <f t="shared" si="3"/>
        <v>8863411</v>
      </c>
      <c r="H21" s="596">
        <f t="shared" si="3"/>
        <v>11789038</v>
      </c>
      <c r="I21" s="597">
        <f t="shared" si="3"/>
        <v>10637363</v>
      </c>
      <c r="J21" s="595">
        <f t="shared" si="3"/>
        <v>12017363</v>
      </c>
      <c r="K21" s="595">
        <f t="shared" si="3"/>
        <v>18783609</v>
      </c>
      <c r="L21" s="595">
        <f t="shared" si="3"/>
        <v>11052442</v>
      </c>
      <c r="M21" s="596">
        <f t="shared" si="3"/>
        <v>12279942</v>
      </c>
      <c r="N21" s="598">
        <f t="shared" si="3"/>
        <v>109769614</v>
      </c>
      <c r="O21" s="599">
        <f t="shared" si="3"/>
        <v>0</v>
      </c>
      <c r="P21" s="600">
        <f t="shared" si="3"/>
        <v>217482461</v>
      </c>
      <c r="Q21" s="601">
        <f t="shared" si="3"/>
        <v>167012676</v>
      </c>
      <c r="R21" s="598">
        <f t="shared" si="3"/>
        <v>215752848</v>
      </c>
      <c r="S21" s="127"/>
    </row>
    <row r="22" spans="1:19" ht="3.75" customHeight="1">
      <c r="A22" s="135"/>
      <c r="B22" s="73"/>
      <c r="C22" s="74"/>
      <c r="D22" s="75"/>
      <c r="E22" s="75"/>
      <c r="F22" s="75"/>
      <c r="G22" s="75"/>
      <c r="H22" s="528"/>
      <c r="I22" s="240"/>
      <c r="J22" s="75"/>
      <c r="K22" s="75"/>
      <c r="L22" s="75"/>
      <c r="M22" s="528"/>
      <c r="N22" s="76">
        <f>SUM(N7:N21)</f>
        <v>219503327</v>
      </c>
      <c r="O22" s="561">
        <f>SUM(O7:O21)</f>
        <v>0</v>
      </c>
      <c r="P22" s="240">
        <f>SUM(P7:P21)</f>
        <v>434925922</v>
      </c>
      <c r="Q22" s="75">
        <f>SUM(Q7:Q21)</f>
        <v>333175352</v>
      </c>
      <c r="R22" s="76">
        <f>SUM(R7:R21)</f>
        <v>430955696</v>
      </c>
      <c r="S22" s="127"/>
    </row>
    <row r="23" spans="1:19" ht="12.75" customHeight="1">
      <c r="A23" s="72" t="s">
        <v>1249</v>
      </c>
      <c r="B23" s="128"/>
      <c r="C23" s="602"/>
      <c r="D23" s="173"/>
      <c r="E23" s="173"/>
      <c r="F23" s="173"/>
      <c r="G23" s="173"/>
      <c r="H23" s="603"/>
      <c r="I23" s="602"/>
      <c r="J23" s="173"/>
      <c r="K23" s="173"/>
      <c r="L23" s="173"/>
      <c r="M23" s="173"/>
      <c r="N23" s="476"/>
      <c r="O23" s="561"/>
      <c r="P23" s="240"/>
      <c r="Q23" s="75"/>
      <c r="R23" s="76"/>
      <c r="S23" s="127"/>
    </row>
    <row r="24" spans="1:19" ht="12.75" customHeight="1">
      <c r="A24" s="128" t="str">
        <f t="shared" ref="A24:A38" si="4">A6</f>
        <v>Vote 1 - Municipal Manager</v>
      </c>
      <c r="B24" s="128"/>
      <c r="C24" s="400"/>
      <c r="D24" s="109"/>
      <c r="E24" s="109"/>
      <c r="F24" s="109"/>
      <c r="G24" s="109"/>
      <c r="H24" s="399"/>
      <c r="I24" s="400"/>
      <c r="J24" s="109"/>
      <c r="K24" s="109"/>
      <c r="L24" s="109"/>
      <c r="M24" s="109"/>
      <c r="N24" s="528">
        <f t="shared" ref="N24:N38" si="5">P24-SUM(C24:M24)</f>
        <v>0</v>
      </c>
      <c r="O24" s="561"/>
      <c r="P24" s="240">
        <f>'B5-Capex'!K26</f>
        <v>0</v>
      </c>
      <c r="Q24" s="75">
        <f>'B5-Capex'!L26</f>
        <v>0</v>
      </c>
      <c r="R24" s="76">
        <f>'B5-Capex'!M26</f>
        <v>0</v>
      </c>
      <c r="S24" s="127"/>
    </row>
    <row r="25" spans="1:19" ht="12.75" customHeight="1">
      <c r="A25" s="128" t="str">
        <f t="shared" si="4"/>
        <v>Vote 2 - Planning &amp; Economic Development</v>
      </c>
      <c r="B25" s="128"/>
      <c r="C25" s="400"/>
      <c r="D25" s="109"/>
      <c r="E25" s="109"/>
      <c r="F25" s="109"/>
      <c r="G25" s="109"/>
      <c r="H25" s="399"/>
      <c r="I25" s="400"/>
      <c r="J25" s="109"/>
      <c r="K25" s="109"/>
      <c r="L25" s="109"/>
      <c r="M25" s="109"/>
      <c r="N25" s="528">
        <f t="shared" si="5"/>
        <v>0</v>
      </c>
      <c r="O25" s="561"/>
      <c r="P25" s="240">
        <f>'B5-Capex'!K27</f>
        <v>0</v>
      </c>
      <c r="Q25" s="75">
        <f>'B5-Capex'!L27</f>
        <v>0</v>
      </c>
      <c r="R25" s="76">
        <f>'B5-Capex'!M27</f>
        <v>0</v>
      </c>
      <c r="S25" s="127"/>
    </row>
    <row r="26" spans="1:19" ht="12.75" customHeight="1">
      <c r="A26" s="128" t="str">
        <f t="shared" si="4"/>
        <v>Vote 3 - Financial Services</v>
      </c>
      <c r="B26" s="128"/>
      <c r="C26" s="400"/>
      <c r="D26" s="109"/>
      <c r="E26" s="109"/>
      <c r="F26" s="109"/>
      <c r="G26" s="109"/>
      <c r="H26" s="399"/>
      <c r="I26" s="400"/>
      <c r="J26" s="109"/>
      <c r="K26" s="109"/>
      <c r="L26" s="109"/>
      <c r="M26" s="109"/>
      <c r="N26" s="528">
        <f t="shared" si="5"/>
        <v>0</v>
      </c>
      <c r="O26" s="561"/>
      <c r="P26" s="240">
        <f>'B5-Capex'!K28</f>
        <v>0</v>
      </c>
      <c r="Q26" s="75">
        <f>'B5-Capex'!L28</f>
        <v>0</v>
      </c>
      <c r="R26" s="76">
        <f>'B5-Capex'!M28</f>
        <v>0</v>
      </c>
      <c r="S26" s="127"/>
    </row>
    <row r="27" spans="1:19" ht="12.75" customHeight="1">
      <c r="A27" s="128" t="str">
        <f t="shared" si="4"/>
        <v>Vote 4 - Corporate Services</v>
      </c>
      <c r="B27" s="128"/>
      <c r="C27" s="400"/>
      <c r="D27" s="109"/>
      <c r="E27" s="109"/>
      <c r="F27" s="109"/>
      <c r="G27" s="109"/>
      <c r="H27" s="399"/>
      <c r="I27" s="400"/>
      <c r="J27" s="109"/>
      <c r="K27" s="109"/>
      <c r="L27" s="109"/>
      <c r="M27" s="109"/>
      <c r="N27" s="528">
        <f t="shared" si="5"/>
        <v>0</v>
      </c>
      <c r="O27" s="561"/>
      <c r="P27" s="240">
        <f>'B5-Capex'!K29</f>
        <v>0</v>
      </c>
      <c r="Q27" s="75">
        <f>'B5-Capex'!L29</f>
        <v>0</v>
      </c>
      <c r="R27" s="76">
        <f>'B5-Capex'!M29</f>
        <v>0</v>
      </c>
      <c r="S27" s="127"/>
    </row>
    <row r="28" spans="1:19" ht="12.75" customHeight="1">
      <c r="A28" s="128" t="str">
        <f t="shared" si="4"/>
        <v>Vote 5 - Community Services</v>
      </c>
      <c r="B28" s="128"/>
      <c r="C28" s="400"/>
      <c r="D28" s="109"/>
      <c r="E28" s="109"/>
      <c r="F28" s="109"/>
      <c r="G28" s="109"/>
      <c r="H28" s="399"/>
      <c r="I28" s="400"/>
      <c r="J28" s="109"/>
      <c r="K28" s="109"/>
      <c r="L28" s="109"/>
      <c r="M28" s="109"/>
      <c r="N28" s="528">
        <f t="shared" si="5"/>
        <v>0</v>
      </c>
      <c r="O28" s="561"/>
      <c r="P28" s="240">
        <f>'B5-Capex'!K30</f>
        <v>0</v>
      </c>
      <c r="Q28" s="75">
        <f>'B5-Capex'!L30</f>
        <v>0</v>
      </c>
      <c r="R28" s="76">
        <f>'B5-Capex'!M30</f>
        <v>0</v>
      </c>
      <c r="S28" s="127"/>
    </row>
    <row r="29" spans="1:19" ht="12.75" customHeight="1">
      <c r="A29" s="128" t="str">
        <f t="shared" si="4"/>
        <v>Vote 6 - Community Services</v>
      </c>
      <c r="B29" s="128"/>
      <c r="C29" s="400"/>
      <c r="D29" s="109"/>
      <c r="E29" s="109"/>
      <c r="F29" s="109"/>
      <c r="G29" s="109"/>
      <c r="H29" s="399"/>
      <c r="I29" s="400"/>
      <c r="J29" s="109"/>
      <c r="K29" s="109"/>
      <c r="L29" s="109"/>
      <c r="M29" s="109"/>
      <c r="N29" s="528">
        <f t="shared" si="5"/>
        <v>0</v>
      </c>
      <c r="O29" s="561"/>
      <c r="P29" s="240">
        <f>'B5-Capex'!K31</f>
        <v>0</v>
      </c>
      <c r="Q29" s="75">
        <f>'B5-Capex'!L31</f>
        <v>0</v>
      </c>
      <c r="R29" s="76">
        <f>'B5-Capex'!M31</f>
        <v>0</v>
      </c>
      <c r="S29" s="127"/>
    </row>
    <row r="30" spans="1:19" ht="12.75" customHeight="1">
      <c r="A30" s="128" t="str">
        <f t="shared" si="4"/>
        <v>Vote 7 - Electrical Engineering Services</v>
      </c>
      <c r="B30" s="128"/>
      <c r="C30" s="400"/>
      <c r="D30" s="109"/>
      <c r="E30" s="109"/>
      <c r="F30" s="109"/>
      <c r="G30" s="109"/>
      <c r="H30" s="399"/>
      <c r="I30" s="400"/>
      <c r="J30" s="109"/>
      <c r="K30" s="109"/>
      <c r="L30" s="109"/>
      <c r="M30" s="109"/>
      <c r="N30" s="528">
        <f t="shared" si="5"/>
        <v>0</v>
      </c>
      <c r="O30" s="561"/>
      <c r="P30" s="240">
        <f>'B5-Capex'!K32</f>
        <v>0</v>
      </c>
      <c r="Q30" s="75">
        <f>'B5-Capex'!L32</f>
        <v>0</v>
      </c>
      <c r="R30" s="76">
        <f>'B5-Capex'!M32</f>
        <v>0</v>
      </c>
      <c r="S30" s="127"/>
    </row>
    <row r="31" spans="1:19" ht="12.75" customHeight="1">
      <c r="A31" s="128" t="str">
        <f t="shared" si="4"/>
        <v>Vote 8 - Engineering Services</v>
      </c>
      <c r="B31" s="128"/>
      <c r="C31" s="400"/>
      <c r="D31" s="109"/>
      <c r="E31" s="109"/>
      <c r="F31" s="109"/>
      <c r="G31" s="109"/>
      <c r="H31" s="399"/>
      <c r="I31" s="400"/>
      <c r="J31" s="109"/>
      <c r="K31" s="109"/>
      <c r="L31" s="109"/>
      <c r="M31" s="109"/>
      <c r="N31" s="528">
        <f t="shared" si="5"/>
        <v>0</v>
      </c>
      <c r="O31" s="561"/>
      <c r="P31" s="240">
        <f>'B5-Capex'!K33</f>
        <v>0</v>
      </c>
      <c r="Q31" s="75">
        <f>'B5-Capex'!L33</f>
        <v>0</v>
      </c>
      <c r="R31" s="76">
        <f>'B5-Capex'!M33</f>
        <v>0</v>
      </c>
      <c r="S31" s="127"/>
    </row>
    <row r="32" spans="1:19" ht="12.75" customHeight="1">
      <c r="A32" s="128" t="str">
        <f t="shared" si="4"/>
        <v>Vote 9 - [NAME OF VOTE 9]</v>
      </c>
      <c r="B32" s="128"/>
      <c r="C32" s="400"/>
      <c r="D32" s="109"/>
      <c r="E32" s="109"/>
      <c r="F32" s="109"/>
      <c r="G32" s="109"/>
      <c r="H32" s="399"/>
      <c r="I32" s="400"/>
      <c r="J32" s="109"/>
      <c r="K32" s="109"/>
      <c r="L32" s="109"/>
      <c r="M32" s="109"/>
      <c r="N32" s="528">
        <f t="shared" si="5"/>
        <v>0</v>
      </c>
      <c r="O32" s="561"/>
      <c r="P32" s="240">
        <f>'B5-Capex'!K34</f>
        <v>0</v>
      </c>
      <c r="Q32" s="75">
        <f>'B5-Capex'!L34</f>
        <v>0</v>
      </c>
      <c r="R32" s="76">
        <f>'B5-Capex'!M34</f>
        <v>0</v>
      </c>
      <c r="S32" s="127"/>
    </row>
    <row r="33" spans="1:20" ht="12.75" customHeight="1">
      <c r="A33" s="128" t="str">
        <f t="shared" si="4"/>
        <v>Vote 10 - [NAME OF VOTE 10]</v>
      </c>
      <c r="B33" s="128"/>
      <c r="C33" s="400"/>
      <c r="D33" s="109"/>
      <c r="E33" s="109"/>
      <c r="F33" s="109"/>
      <c r="G33" s="109"/>
      <c r="H33" s="399"/>
      <c r="I33" s="400"/>
      <c r="J33" s="109"/>
      <c r="K33" s="109"/>
      <c r="L33" s="109"/>
      <c r="M33" s="109"/>
      <c r="N33" s="528">
        <f t="shared" si="5"/>
        <v>0</v>
      </c>
      <c r="O33" s="561"/>
      <c r="P33" s="240">
        <f>'B5-Capex'!K35</f>
        <v>0</v>
      </c>
      <c r="Q33" s="75">
        <f>'B5-Capex'!L35</f>
        <v>0</v>
      </c>
      <c r="R33" s="76">
        <f>'B5-Capex'!M35</f>
        <v>0</v>
      </c>
      <c r="S33" s="127"/>
    </row>
    <row r="34" spans="1:20" ht="12.75" customHeight="1">
      <c r="A34" s="128" t="str">
        <f t="shared" si="4"/>
        <v>Vote 11 - [NAME OF VOTE 11]</v>
      </c>
      <c r="B34" s="128"/>
      <c r="C34" s="400"/>
      <c r="D34" s="109"/>
      <c r="E34" s="109"/>
      <c r="F34" s="109"/>
      <c r="G34" s="109"/>
      <c r="H34" s="399"/>
      <c r="I34" s="400"/>
      <c r="J34" s="109"/>
      <c r="K34" s="109"/>
      <c r="L34" s="109"/>
      <c r="M34" s="109"/>
      <c r="N34" s="528">
        <f t="shared" si="5"/>
        <v>0</v>
      </c>
      <c r="O34" s="561"/>
      <c r="P34" s="240">
        <f>'B5-Capex'!K36</f>
        <v>0</v>
      </c>
      <c r="Q34" s="75">
        <f>'B5-Capex'!L36</f>
        <v>0</v>
      </c>
      <c r="R34" s="76">
        <f>'B5-Capex'!M36</f>
        <v>0</v>
      </c>
      <c r="S34" s="127"/>
    </row>
    <row r="35" spans="1:20" ht="12.75" customHeight="1">
      <c r="A35" s="128" t="str">
        <f t="shared" si="4"/>
        <v>Vote 12 - [NAME OF VOTE 12]</v>
      </c>
      <c r="B35" s="128"/>
      <c r="C35" s="400"/>
      <c r="D35" s="109"/>
      <c r="E35" s="109"/>
      <c r="F35" s="109"/>
      <c r="G35" s="109"/>
      <c r="H35" s="399"/>
      <c r="I35" s="400"/>
      <c r="J35" s="109"/>
      <c r="K35" s="109"/>
      <c r="L35" s="109"/>
      <c r="M35" s="109"/>
      <c r="N35" s="528">
        <f t="shared" si="5"/>
        <v>0</v>
      </c>
      <c r="O35" s="561"/>
      <c r="P35" s="240">
        <f>'B5-Capex'!K37</f>
        <v>0</v>
      </c>
      <c r="Q35" s="75">
        <f>'B5-Capex'!L37</f>
        <v>0</v>
      </c>
      <c r="R35" s="76">
        <f>'B5-Capex'!M37</f>
        <v>0</v>
      </c>
      <c r="S35" s="127"/>
    </row>
    <row r="36" spans="1:20" ht="12.75" customHeight="1">
      <c r="A36" s="128" t="str">
        <f t="shared" si="4"/>
        <v>Vote 13 - [NAME OF VOTE 13]</v>
      </c>
      <c r="B36" s="128"/>
      <c r="C36" s="400"/>
      <c r="D36" s="109"/>
      <c r="E36" s="109"/>
      <c r="F36" s="109"/>
      <c r="G36" s="109"/>
      <c r="H36" s="399"/>
      <c r="I36" s="400"/>
      <c r="J36" s="109"/>
      <c r="K36" s="109"/>
      <c r="L36" s="109"/>
      <c r="M36" s="109"/>
      <c r="N36" s="528">
        <f t="shared" si="5"/>
        <v>0</v>
      </c>
      <c r="O36" s="561"/>
      <c r="P36" s="240">
        <f>'B5-Capex'!K38</f>
        <v>0</v>
      </c>
      <c r="Q36" s="75">
        <f>'B5-Capex'!L38</f>
        <v>0</v>
      </c>
      <c r="R36" s="76">
        <f>'B5-Capex'!M38</f>
        <v>0</v>
      </c>
      <c r="S36" s="127"/>
    </row>
    <row r="37" spans="1:20" ht="12.75" customHeight="1">
      <c r="A37" s="128" t="str">
        <f t="shared" si="4"/>
        <v>Vote 14 - [NAME OF VOTE 14]</v>
      </c>
      <c r="B37" s="128"/>
      <c r="C37" s="400"/>
      <c r="D37" s="109"/>
      <c r="E37" s="109"/>
      <c r="F37" s="109"/>
      <c r="G37" s="109"/>
      <c r="H37" s="399"/>
      <c r="I37" s="400"/>
      <c r="J37" s="109"/>
      <c r="K37" s="109"/>
      <c r="L37" s="109"/>
      <c r="M37" s="109"/>
      <c r="N37" s="528">
        <f t="shared" si="5"/>
        <v>0</v>
      </c>
      <c r="O37" s="561"/>
      <c r="P37" s="240">
        <f>'B5-Capex'!K39</f>
        <v>0</v>
      </c>
      <c r="Q37" s="75">
        <f>'B5-Capex'!L39</f>
        <v>0</v>
      </c>
      <c r="R37" s="76">
        <f>'B5-Capex'!M39</f>
        <v>0</v>
      </c>
      <c r="S37" s="127"/>
    </row>
    <row r="38" spans="1:20" ht="12.75" customHeight="1">
      <c r="A38" s="128" t="str">
        <f t="shared" si="4"/>
        <v>Vote 15 - [NAME OF VOTE 15]</v>
      </c>
      <c r="B38" s="128"/>
      <c r="C38" s="400"/>
      <c r="D38" s="109"/>
      <c r="E38" s="109"/>
      <c r="F38" s="109"/>
      <c r="G38" s="109"/>
      <c r="H38" s="399"/>
      <c r="I38" s="400"/>
      <c r="J38" s="109"/>
      <c r="K38" s="109"/>
      <c r="L38" s="109"/>
      <c r="M38" s="109"/>
      <c r="N38" s="528">
        <f t="shared" si="5"/>
        <v>0</v>
      </c>
      <c r="O38" s="561"/>
      <c r="P38" s="240">
        <f>'B5-Capex'!K40</f>
        <v>0</v>
      </c>
      <c r="Q38" s="75">
        <f>'B5-Capex'!L40</f>
        <v>0</v>
      </c>
      <c r="R38" s="76">
        <f>'B5-Capex'!M40</f>
        <v>0</v>
      </c>
      <c r="S38" s="127"/>
    </row>
    <row r="39" spans="1:20" ht="12.75" customHeight="1">
      <c r="A39" s="161" t="s">
        <v>717</v>
      </c>
      <c r="B39" s="73">
        <v>3</v>
      </c>
      <c r="C39" s="594">
        <f>SUM(C24:C38)</f>
        <v>0</v>
      </c>
      <c r="D39" s="595">
        <f t="shared" ref="D39:R39" si="6">SUM(D24:D38)</f>
        <v>0</v>
      </c>
      <c r="E39" s="595">
        <f t="shared" si="6"/>
        <v>0</v>
      </c>
      <c r="F39" s="595">
        <f t="shared" si="6"/>
        <v>0</v>
      </c>
      <c r="G39" s="595">
        <f t="shared" si="6"/>
        <v>0</v>
      </c>
      <c r="H39" s="596">
        <f t="shared" si="6"/>
        <v>0</v>
      </c>
      <c r="I39" s="597">
        <f t="shared" si="6"/>
        <v>0</v>
      </c>
      <c r="J39" s="595">
        <f t="shared" si="6"/>
        <v>0</v>
      </c>
      <c r="K39" s="595">
        <f t="shared" si="6"/>
        <v>0</v>
      </c>
      <c r="L39" s="595">
        <f t="shared" si="6"/>
        <v>0</v>
      </c>
      <c r="M39" s="596">
        <f t="shared" si="6"/>
        <v>0</v>
      </c>
      <c r="N39" s="598">
        <f t="shared" si="6"/>
        <v>0</v>
      </c>
      <c r="O39" s="599">
        <f t="shared" si="6"/>
        <v>0</v>
      </c>
      <c r="P39" s="600">
        <f t="shared" si="6"/>
        <v>0</v>
      </c>
      <c r="Q39" s="601">
        <f t="shared" si="6"/>
        <v>0</v>
      </c>
      <c r="R39" s="598">
        <f t="shared" si="6"/>
        <v>0</v>
      </c>
      <c r="S39" s="127"/>
    </row>
    <row r="40" spans="1:20" ht="12.75" customHeight="1">
      <c r="A40" s="604" t="s">
        <v>482</v>
      </c>
      <c r="B40" s="605">
        <v>2</v>
      </c>
      <c r="C40" s="115">
        <f>C21+C39</f>
        <v>2446182</v>
      </c>
      <c r="D40" s="116">
        <f t="shared" ref="D40:R40" si="7">D21+D39</f>
        <v>3531472</v>
      </c>
      <c r="E40" s="116">
        <f t="shared" si="7"/>
        <v>12233687</v>
      </c>
      <c r="F40" s="116">
        <f t="shared" si="7"/>
        <v>4078338</v>
      </c>
      <c r="G40" s="116">
        <f t="shared" si="7"/>
        <v>8863411</v>
      </c>
      <c r="H40" s="543">
        <f t="shared" si="7"/>
        <v>11789038</v>
      </c>
      <c r="I40" s="115">
        <f t="shared" si="7"/>
        <v>10637363</v>
      </c>
      <c r="J40" s="116">
        <f t="shared" si="7"/>
        <v>12017363</v>
      </c>
      <c r="K40" s="116">
        <f t="shared" si="7"/>
        <v>18783609</v>
      </c>
      <c r="L40" s="116">
        <f t="shared" si="7"/>
        <v>11052442</v>
      </c>
      <c r="M40" s="116">
        <f t="shared" si="7"/>
        <v>12279942</v>
      </c>
      <c r="N40" s="543">
        <f t="shared" si="7"/>
        <v>109769614</v>
      </c>
      <c r="O40" s="564">
        <f t="shared" si="7"/>
        <v>0</v>
      </c>
      <c r="P40" s="115">
        <f t="shared" si="7"/>
        <v>217482461</v>
      </c>
      <c r="Q40" s="116">
        <f t="shared" si="7"/>
        <v>167012676</v>
      </c>
      <c r="R40" s="117">
        <f t="shared" si="7"/>
        <v>215752848</v>
      </c>
      <c r="S40" s="127"/>
    </row>
    <row r="41" spans="1:20" ht="12.75" customHeight="1">
      <c r="A41" s="606" t="str">
        <f>head27a</f>
        <v>References</v>
      </c>
      <c r="B41" s="607"/>
      <c r="C41" s="566"/>
      <c r="D41" s="566"/>
      <c r="E41" s="566"/>
      <c r="F41" s="566"/>
      <c r="G41" s="566"/>
      <c r="H41" s="566"/>
      <c r="I41" s="566"/>
      <c r="J41" s="566"/>
      <c r="K41" s="566"/>
      <c r="L41" s="566"/>
      <c r="M41" s="566"/>
      <c r="N41" s="566"/>
      <c r="O41" s="566"/>
      <c r="P41" s="566"/>
      <c r="Q41" s="566"/>
      <c r="R41" s="349"/>
      <c r="S41" s="127"/>
      <c r="T41" s="127"/>
    </row>
    <row r="42" spans="1:20" ht="12.75" customHeight="1">
      <c r="A42" s="99" t="s">
        <v>483</v>
      </c>
      <c r="B42" s="48"/>
      <c r="C42" s="566"/>
      <c r="D42" s="566"/>
      <c r="E42" s="566"/>
      <c r="F42" s="566"/>
      <c r="G42" s="566"/>
      <c r="H42" s="566"/>
      <c r="I42" s="566"/>
      <c r="J42" s="566"/>
      <c r="K42" s="566"/>
      <c r="L42" s="566"/>
      <c r="M42" s="566"/>
      <c r="N42" s="566"/>
      <c r="O42" s="566"/>
      <c r="P42" s="566"/>
      <c r="Q42" s="566"/>
      <c r="R42" s="349"/>
      <c r="S42" s="127"/>
      <c r="T42" s="127"/>
    </row>
    <row r="43" spans="1:20" ht="12.75" customHeight="1">
      <c r="A43" s="99" t="s">
        <v>484</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19" t="s">
        <v>5</v>
      </c>
      <c r="B45" s="319"/>
      <c r="O45" s="167">
        <f>O40-'B5-Capex'!J42</f>
        <v>-51852614</v>
      </c>
      <c r="P45" s="351">
        <f>P40-'B5-Capex'!K42</f>
        <v>0</v>
      </c>
      <c r="Q45" s="351">
        <f>Q40-'B5-Capex'!L42</f>
        <v>0</v>
      </c>
      <c r="R45" s="351">
        <f>R40-'B5-Capex'!M42</f>
        <v>0</v>
      </c>
    </row>
    <row r="56" spans="2:2">
      <c r="B56" s="127"/>
    </row>
  </sheetData>
  <mergeCells count="2">
    <mergeCell ref="A2:A3"/>
    <mergeCell ref="B2:B3"/>
  </mergeCells>
  <phoneticPr fontId="17"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sheetPr codeName="Sheet107" enableFormatConditionsCalculation="0">
    <tabColor indexed="42"/>
    <pageSetUpPr fitToPage="1"/>
  </sheetPr>
  <dimension ref="A1:T56"/>
  <sheetViews>
    <sheetView showGridLines="0" workbookViewId="0">
      <pane xSplit="2" ySplit="4" topLeftCell="E14" activePane="bottomRight" state="frozen"/>
      <selection activeCell="M17" sqref="M17:M63"/>
      <selection pane="topRight" activeCell="M17" sqref="M17:M63"/>
      <selection pane="bottomLeft" activeCell="M17" sqref="M17:M63"/>
      <selection pane="bottomRight" activeCell="I18" sqref="I18"/>
    </sheetView>
  </sheetViews>
  <sheetFormatPr defaultRowHeight="12.75"/>
  <cols>
    <col min="1" max="1" width="30.5703125" style="5" customWidth="1"/>
    <col min="2" max="2" width="3.140625" style="5" customWidth="1"/>
    <col min="3" max="18" width="8.7109375" style="5" customWidth="1"/>
    <col min="19" max="16384" width="9.140625" style="5"/>
  </cols>
  <sheetData>
    <row r="1" spans="1:18" ht="13.5">
      <c r="A1" s="57" t="str">
        <f>muni&amp;" - "&amp;ADJB17&amp;" - "&amp;Date</f>
        <v>LIM333 Greater Tzaneen - Supporting Table SB17 Consolidated Adjustments Budget - monthly capital expenditure (standard classification) - 26 FEBRUARY 2014</v>
      </c>
      <c r="B1" s="57"/>
      <c r="D1" s="58"/>
    </row>
    <row r="2" spans="1:18" ht="25.5">
      <c r="A2" s="1327" t="str">
        <f>desc</f>
        <v>Description</v>
      </c>
      <c r="B2" s="1322" t="str">
        <f>head27</f>
        <v>Ref</v>
      </c>
      <c r="C2" s="1319" t="str">
        <f>Head2</f>
        <v>Budget Year 2013/14</v>
      </c>
      <c r="D2" s="1320"/>
      <c r="E2" s="1320"/>
      <c r="F2" s="1320"/>
      <c r="G2" s="1320"/>
      <c r="H2" s="1320"/>
      <c r="I2" s="1320"/>
      <c r="J2" s="1320"/>
      <c r="K2" s="1320"/>
      <c r="L2" s="1320"/>
      <c r="M2" s="1320"/>
      <c r="N2" s="1362"/>
      <c r="O2" s="608" t="str">
        <f>Head3a</f>
        <v>Medium Term Revenue and Expenditure Framework</v>
      </c>
      <c r="P2" s="468"/>
      <c r="Q2" s="170"/>
    </row>
    <row r="3" spans="1:18" ht="38.25">
      <c r="A3" s="1328"/>
      <c r="B3" s="1323"/>
      <c r="C3" s="470" t="s">
        <v>228</v>
      </c>
      <c r="D3" s="328" t="s">
        <v>229</v>
      </c>
      <c r="E3" s="328" t="s">
        <v>230</v>
      </c>
      <c r="F3" s="328" t="s">
        <v>231</v>
      </c>
      <c r="G3" s="328" t="s">
        <v>232</v>
      </c>
      <c r="H3" s="329" t="s">
        <v>233</v>
      </c>
      <c r="I3" s="552" t="s">
        <v>234</v>
      </c>
      <c r="J3" s="553" t="s">
        <v>235</v>
      </c>
      <c r="K3" s="328" t="s">
        <v>236</v>
      </c>
      <c r="L3" s="328" t="s">
        <v>237</v>
      </c>
      <c r="M3" s="554" t="s">
        <v>238</v>
      </c>
      <c r="N3" s="553" t="s">
        <v>239</v>
      </c>
      <c r="O3" s="552" t="str">
        <f>Head9</f>
        <v>Budget Year 2013/14</v>
      </c>
      <c r="P3" s="553" t="str">
        <f>Head10</f>
        <v>Budget Year +1 2014/15</v>
      </c>
      <c r="Q3" s="330" t="str">
        <f>Head11</f>
        <v>Budget Year +2 2015/16</v>
      </c>
    </row>
    <row r="4" spans="1:18" ht="25.5">
      <c r="A4" s="583" t="s">
        <v>643</v>
      </c>
      <c r="B4" s="104"/>
      <c r="C4" s="831" t="str">
        <f t="shared" ref="C4:H4" si="0">Head5A</f>
        <v>Outcome</v>
      </c>
      <c r="D4" s="832" t="str">
        <f t="shared" si="0"/>
        <v>Outcome</v>
      </c>
      <c r="E4" s="832" t="str">
        <f t="shared" si="0"/>
        <v>Outcome</v>
      </c>
      <c r="F4" s="832" t="str">
        <f t="shared" si="0"/>
        <v>Outcome</v>
      </c>
      <c r="G4" s="832" t="str">
        <f t="shared" si="0"/>
        <v>Outcome</v>
      </c>
      <c r="H4" s="833" t="str">
        <f t="shared" si="0"/>
        <v>Outcome</v>
      </c>
      <c r="I4" s="831" t="str">
        <f t="shared" ref="I4:Q4" si="1">Head7</f>
        <v>Adjusted Budget</v>
      </c>
      <c r="J4" s="833" t="str">
        <f t="shared" si="1"/>
        <v>Adjusted Budget</v>
      </c>
      <c r="K4" s="832" t="str">
        <f t="shared" si="1"/>
        <v>Adjusted Budget</v>
      </c>
      <c r="L4" s="832" t="str">
        <f t="shared" si="1"/>
        <v>Adjusted Budget</v>
      </c>
      <c r="M4" s="832" t="str">
        <f t="shared" si="1"/>
        <v>Adjusted Budget</v>
      </c>
      <c r="N4" s="833" t="str">
        <f t="shared" si="1"/>
        <v>Adjusted Budget</v>
      </c>
      <c r="O4" s="558" t="str">
        <f t="shared" si="1"/>
        <v>Adjusted Budget</v>
      </c>
      <c r="P4" s="559" t="str">
        <f t="shared" si="1"/>
        <v>Adjusted Budget</v>
      </c>
      <c r="Q4" s="560" t="str">
        <f t="shared" si="1"/>
        <v>Adjusted Budget</v>
      </c>
    </row>
    <row r="5" spans="1:18" ht="12.75" customHeight="1">
      <c r="A5" s="527" t="s">
        <v>718</v>
      </c>
      <c r="B5" s="128"/>
      <c r="C5" s="240"/>
      <c r="D5" s="75"/>
      <c r="E5" s="75"/>
      <c r="F5" s="75"/>
      <c r="G5" s="75"/>
      <c r="H5" s="528"/>
      <c r="I5" s="240"/>
      <c r="J5" s="75"/>
      <c r="K5" s="75"/>
      <c r="L5" s="75"/>
      <c r="M5" s="75"/>
      <c r="N5" s="528"/>
      <c r="O5" s="240"/>
      <c r="P5" s="75"/>
      <c r="Q5" s="76"/>
      <c r="R5" s="127"/>
    </row>
    <row r="6" spans="1:18" ht="12.75" customHeight="1">
      <c r="A6" s="107" t="str">
        <f>'B2-FinPerf SC'!A7</f>
        <v>Governance and administration</v>
      </c>
      <c r="B6" s="128"/>
      <c r="C6" s="941">
        <f t="shared" ref="C6:M6" si="2">SUM(C7:C9)</f>
        <v>158430</v>
      </c>
      <c r="D6" s="942">
        <f t="shared" si="2"/>
        <v>13185</v>
      </c>
      <c r="E6" s="942">
        <f t="shared" si="2"/>
        <v>102900</v>
      </c>
      <c r="F6" s="942">
        <f t="shared" si="2"/>
        <v>9468</v>
      </c>
      <c r="G6" s="942">
        <f t="shared" si="2"/>
        <v>3099</v>
      </c>
      <c r="H6" s="943">
        <f t="shared" si="2"/>
        <v>13054</v>
      </c>
      <c r="I6" s="941">
        <f t="shared" si="2"/>
        <v>0</v>
      </c>
      <c r="J6" s="942">
        <f t="shared" si="2"/>
        <v>50000</v>
      </c>
      <c r="K6" s="942">
        <f t="shared" si="2"/>
        <v>92000</v>
      </c>
      <c r="L6" s="942">
        <f t="shared" si="2"/>
        <v>272500</v>
      </c>
      <c r="M6" s="942">
        <f t="shared" si="2"/>
        <v>0</v>
      </c>
      <c r="N6" s="944">
        <f t="shared" ref="N6:N25" si="3">O6-SUM(C6:M6)</f>
        <v>5164864</v>
      </c>
      <c r="O6" s="799">
        <f>'B5-Capex'!K45</f>
        <v>5879500</v>
      </c>
      <c r="P6" s="800">
        <f>'B5-Capex'!L45</f>
        <v>2350000</v>
      </c>
      <c r="Q6" s="802">
        <f>'B5-Capex'!M45</f>
        <v>1550000</v>
      </c>
      <c r="R6" s="127"/>
    </row>
    <row r="7" spans="1:18" ht="12.75" customHeight="1">
      <c r="A7" s="108" t="str">
        <f>'B2-FinPerf SC'!A8</f>
        <v>Executive and council</v>
      </c>
      <c r="B7" s="128"/>
      <c r="C7" s="109">
        <v>84000</v>
      </c>
      <c r="D7" s="109">
        <v>0</v>
      </c>
      <c r="E7" s="109">
        <v>0</v>
      </c>
      <c r="F7" s="109">
        <v>0</v>
      </c>
      <c r="G7" s="109">
        <v>3099</v>
      </c>
      <c r="H7" s="399">
        <v>0</v>
      </c>
      <c r="I7" s="400" t="s">
        <v>1807</v>
      </c>
      <c r="J7" s="109" t="s">
        <v>1807</v>
      </c>
      <c r="K7" s="109"/>
      <c r="L7" s="109"/>
      <c r="M7" s="109"/>
      <c r="N7" s="528">
        <f t="shared" si="3"/>
        <v>515901</v>
      </c>
      <c r="O7" s="240">
        <f>'B5-Capex'!K46</f>
        <v>603000</v>
      </c>
      <c r="P7" s="75">
        <f>'B5-Capex'!L46</f>
        <v>500000</v>
      </c>
      <c r="Q7" s="76">
        <f>'B5-Capex'!M46</f>
        <v>500000</v>
      </c>
      <c r="R7" s="127"/>
    </row>
    <row r="8" spans="1:18" ht="12.75" customHeight="1">
      <c r="A8" s="108" t="str">
        <f>'B2-FinPerf SC'!A9</f>
        <v>Budget and treasury office</v>
      </c>
      <c r="B8" s="128"/>
      <c r="C8" s="111">
        <v>63970</v>
      </c>
      <c r="D8" s="111">
        <v>0</v>
      </c>
      <c r="E8" s="111">
        <v>0</v>
      </c>
      <c r="F8" s="111">
        <v>0</v>
      </c>
      <c r="G8" s="111">
        <v>0</v>
      </c>
      <c r="H8" s="577">
        <v>0</v>
      </c>
      <c r="I8" s="578"/>
      <c r="J8" s="111"/>
      <c r="K8" s="111"/>
      <c r="L8" s="111"/>
      <c r="M8" s="111"/>
      <c r="N8" s="528">
        <f t="shared" si="3"/>
        <v>36030</v>
      </c>
      <c r="O8" s="240">
        <f>'B5-Capex'!K47</f>
        <v>100000</v>
      </c>
      <c r="P8" s="75">
        <f>'B5-Capex'!L47</f>
        <v>500000</v>
      </c>
      <c r="Q8" s="76">
        <f>'B5-Capex'!M47</f>
        <v>500000</v>
      </c>
      <c r="R8" s="127"/>
    </row>
    <row r="9" spans="1:18" ht="12.75" customHeight="1">
      <c r="A9" s="108" t="str">
        <f>'B2-FinPerf SC'!A10</f>
        <v>Corporate services</v>
      </c>
      <c r="B9" s="128"/>
      <c r="C9" s="109">
        <v>10460</v>
      </c>
      <c r="D9" s="109">
        <v>13185</v>
      </c>
      <c r="E9" s="109">
        <v>102900</v>
      </c>
      <c r="F9" s="109">
        <v>9468</v>
      </c>
      <c r="G9" s="109">
        <v>0</v>
      </c>
      <c r="H9" s="399">
        <v>13054</v>
      </c>
      <c r="I9" s="400" t="s">
        <v>1788</v>
      </c>
      <c r="J9" s="109">
        <v>50000</v>
      </c>
      <c r="K9" s="109">
        <v>92000</v>
      </c>
      <c r="L9" s="109">
        <v>272500</v>
      </c>
      <c r="M9" s="109" t="s">
        <v>1807</v>
      </c>
      <c r="N9" s="528">
        <f t="shared" si="3"/>
        <v>4612933</v>
      </c>
      <c r="O9" s="240">
        <f>'B5-Capex'!K48</f>
        <v>5176500</v>
      </c>
      <c r="P9" s="75">
        <f>'B5-Capex'!L48</f>
        <v>1350000</v>
      </c>
      <c r="Q9" s="76">
        <f>'B5-Capex'!M48</f>
        <v>550000</v>
      </c>
      <c r="R9" s="127"/>
    </row>
    <row r="10" spans="1:18" ht="12.75" customHeight="1">
      <c r="A10" s="107" t="str">
        <f>'B2-FinPerf SC'!A11</f>
        <v>Community and public safety</v>
      </c>
      <c r="B10" s="128"/>
      <c r="C10" s="941">
        <f t="shared" ref="C10:M10" si="4">SUM(C11:C15)</f>
        <v>0</v>
      </c>
      <c r="D10" s="942">
        <f t="shared" si="4"/>
        <v>0</v>
      </c>
      <c r="E10" s="942">
        <f t="shared" si="4"/>
        <v>0</v>
      </c>
      <c r="F10" s="942">
        <f t="shared" si="4"/>
        <v>0</v>
      </c>
      <c r="G10" s="942">
        <f t="shared" si="4"/>
        <v>0</v>
      </c>
      <c r="H10" s="943">
        <f t="shared" si="4"/>
        <v>390147</v>
      </c>
      <c r="I10" s="941">
        <f t="shared" si="4"/>
        <v>0</v>
      </c>
      <c r="J10" s="942">
        <f t="shared" si="4"/>
        <v>0</v>
      </c>
      <c r="K10" s="942">
        <f t="shared" si="4"/>
        <v>0</v>
      </c>
      <c r="L10" s="942">
        <f t="shared" si="4"/>
        <v>0</v>
      </c>
      <c r="M10" s="942">
        <f t="shared" si="4"/>
        <v>0</v>
      </c>
      <c r="N10" s="944">
        <f t="shared" si="3"/>
        <v>-390147</v>
      </c>
      <c r="O10" s="799">
        <f>'B5-Capex'!K49</f>
        <v>0</v>
      </c>
      <c r="P10" s="800">
        <f>'B5-Capex'!L49</f>
        <v>200000</v>
      </c>
      <c r="Q10" s="802">
        <f>'B5-Capex'!M49</f>
        <v>2290000</v>
      </c>
      <c r="R10" s="127"/>
    </row>
    <row r="11" spans="1:18" ht="12.75" customHeight="1">
      <c r="A11" s="108" t="str">
        <f>'B2-FinPerf SC'!A12</f>
        <v>Community and social services</v>
      </c>
      <c r="B11" s="128"/>
      <c r="C11" s="109"/>
      <c r="D11" s="109"/>
      <c r="E11" s="109"/>
      <c r="F11" s="109"/>
      <c r="G11" s="109"/>
      <c r="H11" s="399"/>
      <c r="I11" s="400"/>
      <c r="J11" s="109"/>
      <c r="K11" s="109"/>
      <c r="L11" s="109"/>
      <c r="M11" s="109"/>
      <c r="N11" s="528">
        <f t="shared" si="3"/>
        <v>0</v>
      </c>
      <c r="O11" s="240">
        <f>'B5-Capex'!K50</f>
        <v>0</v>
      </c>
      <c r="P11" s="75">
        <f>'B5-Capex'!L50</f>
        <v>0</v>
      </c>
      <c r="Q11" s="76">
        <f>'B5-Capex'!M50</f>
        <v>0</v>
      </c>
      <c r="R11" s="127"/>
    </row>
    <row r="12" spans="1:18" ht="12.75" customHeight="1">
      <c r="A12" s="108" t="str">
        <f>'B2-FinPerf SC'!A13</f>
        <v>Sport and recreation</v>
      </c>
      <c r="B12" s="128"/>
      <c r="C12" s="109"/>
      <c r="D12" s="109"/>
      <c r="E12" s="109"/>
      <c r="F12" s="109"/>
      <c r="G12" s="109"/>
      <c r="H12" s="399"/>
      <c r="I12" s="400"/>
      <c r="J12" s="109"/>
      <c r="K12" s="109"/>
      <c r="L12" s="109"/>
      <c r="M12" s="109"/>
      <c r="N12" s="528">
        <f t="shared" si="3"/>
        <v>0</v>
      </c>
      <c r="O12" s="240">
        <f>'B5-Capex'!K51</f>
        <v>0</v>
      </c>
      <c r="P12" s="75">
        <f>'B5-Capex'!L51</f>
        <v>0</v>
      </c>
      <c r="Q12" s="76">
        <f>'B5-Capex'!M51</f>
        <v>0</v>
      </c>
      <c r="R12" s="127"/>
    </row>
    <row r="13" spans="1:18" ht="12.75" customHeight="1">
      <c r="A13" s="108" t="str">
        <f>'B2-FinPerf SC'!A14</f>
        <v>Public safety</v>
      </c>
      <c r="B13" s="128"/>
      <c r="C13" s="109"/>
      <c r="D13" s="109"/>
      <c r="E13" s="109"/>
      <c r="F13" s="109"/>
      <c r="G13" s="109"/>
      <c r="H13" s="399"/>
      <c r="I13" s="400"/>
      <c r="J13" s="109"/>
      <c r="K13" s="109"/>
      <c r="L13" s="109"/>
      <c r="M13" s="109"/>
      <c r="N13" s="528">
        <f t="shared" si="3"/>
        <v>0</v>
      </c>
      <c r="O13" s="240">
        <f>'B5-Capex'!K52</f>
        <v>0</v>
      </c>
      <c r="P13" s="75">
        <f>'B5-Capex'!L52</f>
        <v>0</v>
      </c>
      <c r="Q13" s="76">
        <f>'B5-Capex'!M52</f>
        <v>0</v>
      </c>
      <c r="R13" s="127"/>
    </row>
    <row r="14" spans="1:18" ht="12.75" customHeight="1">
      <c r="A14" s="108" t="str">
        <f>'B2-FinPerf SC'!A15</f>
        <v>Housing</v>
      </c>
      <c r="B14" s="128"/>
      <c r="C14" s="109">
        <v>0</v>
      </c>
      <c r="D14" s="109">
        <v>0</v>
      </c>
      <c r="E14" s="109">
        <v>0</v>
      </c>
      <c r="F14" s="109">
        <v>0</v>
      </c>
      <c r="G14" s="109">
        <v>0</v>
      </c>
      <c r="H14" s="399">
        <v>390147</v>
      </c>
      <c r="I14" s="400"/>
      <c r="J14" s="109"/>
      <c r="K14" s="109"/>
      <c r="L14" s="109"/>
      <c r="M14" s="109"/>
      <c r="N14" s="528">
        <f t="shared" si="3"/>
        <v>-390147</v>
      </c>
      <c r="O14" s="240">
        <f>'B5-Capex'!K53</f>
        <v>0</v>
      </c>
      <c r="P14" s="75">
        <f>'B5-Capex'!L53</f>
        <v>200000</v>
      </c>
      <c r="Q14" s="76">
        <f>'B5-Capex'!M53</f>
        <v>2290000</v>
      </c>
      <c r="R14" s="127"/>
    </row>
    <row r="15" spans="1:18" ht="12.75" customHeight="1">
      <c r="A15" s="108" t="str">
        <f>'B2-FinPerf SC'!A16</f>
        <v>Health</v>
      </c>
      <c r="B15" s="128"/>
      <c r="C15" s="111"/>
      <c r="D15" s="111"/>
      <c r="E15" s="111"/>
      <c r="F15" s="111"/>
      <c r="G15" s="111"/>
      <c r="H15" s="577"/>
      <c r="I15" s="578"/>
      <c r="J15" s="111"/>
      <c r="K15" s="111"/>
      <c r="L15" s="111"/>
      <c r="M15" s="111"/>
      <c r="N15" s="528">
        <f t="shared" si="3"/>
        <v>0</v>
      </c>
      <c r="O15" s="240">
        <f>'B5-Capex'!K54</f>
        <v>0</v>
      </c>
      <c r="P15" s="75">
        <f>'B5-Capex'!L54</f>
        <v>0</v>
      </c>
      <c r="Q15" s="76">
        <f>'B5-Capex'!M54</f>
        <v>0</v>
      </c>
      <c r="R15" s="127"/>
    </row>
    <row r="16" spans="1:18" ht="12.75" customHeight="1">
      <c r="A16" s="107" t="str">
        <f>'B2-FinPerf SC'!A17</f>
        <v>Economic and environmental services</v>
      </c>
      <c r="B16" s="128"/>
      <c r="C16" s="941">
        <f t="shared" ref="C16:M16" si="5">SUM(C17:C19)</f>
        <v>2214365</v>
      </c>
      <c r="D16" s="942">
        <f t="shared" si="5"/>
        <v>2451755</v>
      </c>
      <c r="E16" s="942">
        <f t="shared" si="5"/>
        <v>11830362</v>
      </c>
      <c r="F16" s="942">
        <f t="shared" si="5"/>
        <v>2640658</v>
      </c>
      <c r="G16" s="942">
        <f t="shared" si="5"/>
        <v>7854540</v>
      </c>
      <c r="H16" s="943">
        <f t="shared" si="5"/>
        <v>9895433</v>
      </c>
      <c r="I16" s="941">
        <f t="shared" si="5"/>
        <v>6437363</v>
      </c>
      <c r="J16" s="942">
        <f t="shared" si="5"/>
        <v>6397363</v>
      </c>
      <c r="K16" s="942">
        <f t="shared" si="5"/>
        <v>9446609</v>
      </c>
      <c r="L16" s="942">
        <f t="shared" si="5"/>
        <v>6479942</v>
      </c>
      <c r="M16" s="942">
        <f t="shared" si="5"/>
        <v>7479942</v>
      </c>
      <c r="N16" s="944">
        <f t="shared" si="3"/>
        <v>102564629</v>
      </c>
      <c r="O16" s="799">
        <f>'B5-Capex'!K55</f>
        <v>175692961</v>
      </c>
      <c r="P16" s="800">
        <f>'B5-Capex'!L55</f>
        <v>116968556</v>
      </c>
      <c r="Q16" s="802">
        <f>'B5-Capex'!M55</f>
        <v>135800718</v>
      </c>
      <c r="R16" s="127"/>
    </row>
    <row r="17" spans="1:20" ht="12.75" customHeight="1">
      <c r="A17" s="108" t="str">
        <f>'B2-FinPerf SC'!A18</f>
        <v>Planning and development</v>
      </c>
      <c r="B17" s="128"/>
      <c r="C17" s="109">
        <v>0</v>
      </c>
      <c r="D17" s="109">
        <v>0</v>
      </c>
      <c r="E17" s="109">
        <v>0</v>
      </c>
      <c r="F17" s="109">
        <v>0</v>
      </c>
      <c r="G17" s="109">
        <v>57756</v>
      </c>
      <c r="H17" s="399">
        <v>901413</v>
      </c>
      <c r="I17" s="400">
        <v>40000</v>
      </c>
      <c r="J17" s="109" t="s">
        <v>1788</v>
      </c>
      <c r="K17" s="109">
        <v>300000</v>
      </c>
      <c r="L17" s="109" t="s">
        <v>1788</v>
      </c>
      <c r="M17" s="109" t="s">
        <v>1788</v>
      </c>
      <c r="N17" s="528">
        <f t="shared" si="3"/>
        <v>26485831</v>
      </c>
      <c r="O17" s="240">
        <f>'B5-Capex'!K56</f>
        <v>27785000</v>
      </c>
      <c r="P17" s="75">
        <f>'B5-Capex'!L56</f>
        <v>5525000</v>
      </c>
      <c r="Q17" s="76">
        <f>'B5-Capex'!M56</f>
        <v>14527500</v>
      </c>
      <c r="R17" s="127"/>
    </row>
    <row r="18" spans="1:20" ht="12.75" customHeight="1">
      <c r="A18" s="108" t="str">
        <f>'B2-FinPerf SC'!A19</f>
        <v>Road transport</v>
      </c>
      <c r="B18" s="128"/>
      <c r="C18" s="109">
        <v>2214365</v>
      </c>
      <c r="D18" s="109">
        <v>2451755</v>
      </c>
      <c r="E18" s="109">
        <v>11830362</v>
      </c>
      <c r="F18" s="109">
        <v>2640658</v>
      </c>
      <c r="G18" s="109">
        <v>7796784</v>
      </c>
      <c r="H18" s="399">
        <v>8994020</v>
      </c>
      <c r="I18" s="400">
        <f>6412363-15000</f>
        <v>6397363</v>
      </c>
      <c r="J18" s="109">
        <f>6412363-15000</f>
        <v>6397363</v>
      </c>
      <c r="K18" s="109">
        <f>9161609-15000</f>
        <v>9146609</v>
      </c>
      <c r="L18" s="109">
        <f>6494942-15000</f>
        <v>6479942</v>
      </c>
      <c r="M18" s="109">
        <f>7494942-15000</f>
        <v>7479942</v>
      </c>
      <c r="N18" s="528">
        <f t="shared" si="3"/>
        <v>76078798</v>
      </c>
      <c r="O18" s="240">
        <f>'B5-Capex'!K57</f>
        <v>147907961</v>
      </c>
      <c r="P18" s="75">
        <f>'B5-Capex'!L57</f>
        <v>111443556</v>
      </c>
      <c r="Q18" s="76">
        <f>'B5-Capex'!M57</f>
        <v>121273218</v>
      </c>
      <c r="R18" s="127"/>
    </row>
    <row r="19" spans="1:20" ht="12.75" customHeight="1">
      <c r="A19" s="108" t="str">
        <f>'B2-FinPerf SC'!A20</f>
        <v>Environmental protection</v>
      </c>
      <c r="B19" s="128"/>
      <c r="C19" s="109"/>
      <c r="D19" s="109"/>
      <c r="E19" s="109"/>
      <c r="F19" s="109"/>
      <c r="G19" s="109"/>
      <c r="H19" s="399"/>
      <c r="I19" s="400"/>
      <c r="J19" s="109"/>
      <c r="K19" s="109"/>
      <c r="L19" s="109"/>
      <c r="M19" s="109"/>
      <c r="N19" s="528">
        <f t="shared" si="3"/>
        <v>0</v>
      </c>
      <c r="O19" s="240">
        <f>'B5-Capex'!K58</f>
        <v>0</v>
      </c>
      <c r="P19" s="75">
        <f>'B5-Capex'!L58</f>
        <v>0</v>
      </c>
      <c r="Q19" s="76">
        <f>'B5-Capex'!M58</f>
        <v>0</v>
      </c>
      <c r="R19" s="127"/>
    </row>
    <row r="20" spans="1:20" ht="12.75" customHeight="1">
      <c r="A20" s="107" t="str">
        <f>'B2-FinPerf SC'!A21</f>
        <v>Trading services</v>
      </c>
      <c r="B20" s="128"/>
      <c r="C20" s="941">
        <f>SUM(C21:C24)</f>
        <v>73387</v>
      </c>
      <c r="D20" s="942">
        <f t="shared" ref="D20:M20" si="6">SUM(D21:D24)</f>
        <v>1066532</v>
      </c>
      <c r="E20" s="942">
        <f t="shared" si="6"/>
        <v>300425</v>
      </c>
      <c r="F20" s="942">
        <f t="shared" si="6"/>
        <v>1428212</v>
      </c>
      <c r="G20" s="942">
        <f t="shared" si="6"/>
        <v>1005772</v>
      </c>
      <c r="H20" s="943">
        <f t="shared" si="6"/>
        <v>1490404</v>
      </c>
      <c r="I20" s="941">
        <f t="shared" si="6"/>
        <v>4200000</v>
      </c>
      <c r="J20" s="942">
        <f t="shared" si="6"/>
        <v>5570000</v>
      </c>
      <c r="K20" s="942">
        <f t="shared" si="6"/>
        <v>9245000</v>
      </c>
      <c r="L20" s="942">
        <f t="shared" si="6"/>
        <v>4300000</v>
      </c>
      <c r="M20" s="942">
        <f t="shared" si="6"/>
        <v>4800000</v>
      </c>
      <c r="N20" s="944">
        <f t="shared" si="3"/>
        <v>2430268</v>
      </c>
      <c r="O20" s="799">
        <f>'B5-Capex'!K59</f>
        <v>35910000</v>
      </c>
      <c r="P20" s="800">
        <f>'B5-Capex'!L59</f>
        <v>47494120</v>
      </c>
      <c r="Q20" s="802">
        <f>'B5-Capex'!M59</f>
        <v>76612129</v>
      </c>
      <c r="R20" s="127"/>
    </row>
    <row r="21" spans="1:20" ht="12.75" customHeight="1">
      <c r="A21" s="108" t="str">
        <f>'B2-FinPerf SC'!A22</f>
        <v>Electricity</v>
      </c>
      <c r="B21" s="128"/>
      <c r="C21" s="109">
        <v>73387</v>
      </c>
      <c r="D21" s="109">
        <v>1066532</v>
      </c>
      <c r="E21" s="109">
        <v>300425</v>
      </c>
      <c r="F21" s="109">
        <v>1428212</v>
      </c>
      <c r="G21" s="109">
        <v>1005772</v>
      </c>
      <c r="H21" s="399">
        <v>1490404</v>
      </c>
      <c r="I21" s="400">
        <v>4200000</v>
      </c>
      <c r="J21" s="109">
        <v>5570000</v>
      </c>
      <c r="K21" s="109">
        <v>9245000</v>
      </c>
      <c r="L21" s="109">
        <v>4300000</v>
      </c>
      <c r="M21" s="109">
        <v>4800000</v>
      </c>
      <c r="N21" s="528">
        <f t="shared" si="3"/>
        <v>2330268</v>
      </c>
      <c r="O21" s="240">
        <f>'B5-Capex'!K60</f>
        <v>35810000</v>
      </c>
      <c r="P21" s="75">
        <f>'B5-Capex'!L60</f>
        <v>43469120</v>
      </c>
      <c r="Q21" s="76">
        <f>'B5-Capex'!M60</f>
        <v>75182129</v>
      </c>
      <c r="R21" s="127"/>
    </row>
    <row r="22" spans="1:20" ht="12.75" customHeight="1">
      <c r="A22" s="108" t="str">
        <f>'B2-FinPerf SC'!A23</f>
        <v>Water</v>
      </c>
      <c r="B22" s="128"/>
      <c r="C22" s="109"/>
      <c r="D22" s="109"/>
      <c r="E22" s="109"/>
      <c r="F22" s="109"/>
      <c r="G22" s="109"/>
      <c r="H22" s="399"/>
      <c r="I22" s="400"/>
      <c r="J22" s="109"/>
      <c r="K22" s="109"/>
      <c r="L22" s="109"/>
      <c r="M22" s="109"/>
      <c r="N22" s="528">
        <f t="shared" si="3"/>
        <v>0</v>
      </c>
      <c r="O22" s="240">
        <f>'B5-Capex'!K61</f>
        <v>0</v>
      </c>
      <c r="P22" s="75">
        <f>'B5-Capex'!L61</f>
        <v>0</v>
      </c>
      <c r="Q22" s="76">
        <f>'B5-Capex'!M61</f>
        <v>0</v>
      </c>
      <c r="R22" s="127"/>
    </row>
    <row r="23" spans="1:20" ht="12.75" customHeight="1">
      <c r="A23" s="108" t="str">
        <f>'B2-FinPerf SC'!A24</f>
        <v>Waste water management</v>
      </c>
      <c r="B23" s="128"/>
      <c r="C23" s="111"/>
      <c r="D23" s="111"/>
      <c r="E23" s="111"/>
      <c r="F23" s="111"/>
      <c r="G23" s="111"/>
      <c r="H23" s="577"/>
      <c r="I23" s="578"/>
      <c r="J23" s="111"/>
      <c r="K23" s="111"/>
      <c r="L23" s="111"/>
      <c r="M23" s="111"/>
      <c r="N23" s="528">
        <f t="shared" si="3"/>
        <v>0</v>
      </c>
      <c r="O23" s="240">
        <f>'B5-Capex'!K62</f>
        <v>0</v>
      </c>
      <c r="P23" s="75">
        <f>'B5-Capex'!L62</f>
        <v>900000</v>
      </c>
      <c r="Q23" s="76" t="str">
        <f>'B5-Capex'!M62</f>
        <v xml:space="preserve"> -   </v>
      </c>
      <c r="R23" s="127"/>
    </row>
    <row r="24" spans="1:20" ht="12.75" customHeight="1">
      <c r="A24" s="108" t="str">
        <f>'B2-FinPerf SC'!A25</f>
        <v>Waste management</v>
      </c>
      <c r="B24" s="128"/>
      <c r="C24" s="109"/>
      <c r="D24" s="109"/>
      <c r="E24" s="109"/>
      <c r="F24" s="109"/>
      <c r="G24" s="109"/>
      <c r="H24" s="399"/>
      <c r="I24" s="400"/>
      <c r="J24" s="109"/>
      <c r="K24" s="109"/>
      <c r="L24" s="109"/>
      <c r="M24" s="109"/>
      <c r="N24" s="528">
        <f t="shared" si="3"/>
        <v>100000</v>
      </c>
      <c r="O24" s="240">
        <f>'B5-Capex'!K63</f>
        <v>100000</v>
      </c>
      <c r="P24" s="75">
        <f>'B5-Capex'!L63</f>
        <v>3125000</v>
      </c>
      <c r="Q24" s="76">
        <f>'B5-Capex'!M63</f>
        <v>1430000</v>
      </c>
      <c r="R24" s="127"/>
    </row>
    <row r="25" spans="1:20" ht="12.75" customHeight="1">
      <c r="A25" s="107" t="str">
        <f>'B2-FinPerf SC'!A26</f>
        <v>Other</v>
      </c>
      <c r="B25" s="128"/>
      <c r="C25" s="840"/>
      <c r="D25" s="840"/>
      <c r="E25" s="840"/>
      <c r="F25" s="840"/>
      <c r="G25" s="840"/>
      <c r="H25" s="924"/>
      <c r="I25" s="925"/>
      <c r="J25" s="840"/>
      <c r="K25" s="840"/>
      <c r="L25" s="840"/>
      <c r="M25" s="840"/>
      <c r="N25" s="536">
        <f t="shared" si="3"/>
        <v>0</v>
      </c>
      <c r="O25" s="496">
        <f>'B5-Capex'!K64</f>
        <v>0</v>
      </c>
      <c r="P25" s="140">
        <f>'B5-Capex'!L64</f>
        <v>0</v>
      </c>
      <c r="Q25" s="141">
        <f>'B5-Capex'!M64</f>
        <v>0</v>
      </c>
      <c r="R25" s="127"/>
    </row>
    <row r="26" spans="1:20" ht="12.75" customHeight="1">
      <c r="A26" s="604" t="s">
        <v>485</v>
      </c>
      <c r="B26" s="605"/>
      <c r="C26" s="713">
        <f>C6+C10+C16+C20+C25</f>
        <v>2446182</v>
      </c>
      <c r="D26" s="713">
        <f t="shared" ref="D26:N26" si="7">D6+D10+D16+D20+D25</f>
        <v>3531472</v>
      </c>
      <c r="E26" s="713">
        <f t="shared" si="7"/>
        <v>12233687</v>
      </c>
      <c r="F26" s="713">
        <f t="shared" si="7"/>
        <v>4078338</v>
      </c>
      <c r="G26" s="713">
        <f t="shared" si="7"/>
        <v>8863411</v>
      </c>
      <c r="H26" s="714">
        <f t="shared" si="7"/>
        <v>11789038</v>
      </c>
      <c r="I26" s="715">
        <f t="shared" si="7"/>
        <v>10637363</v>
      </c>
      <c r="J26" s="713">
        <f t="shared" si="7"/>
        <v>12017363</v>
      </c>
      <c r="K26" s="713">
        <f t="shared" si="7"/>
        <v>18783609</v>
      </c>
      <c r="L26" s="713">
        <f t="shared" si="7"/>
        <v>11052442</v>
      </c>
      <c r="M26" s="713">
        <f t="shared" si="7"/>
        <v>12279942</v>
      </c>
      <c r="N26" s="716">
        <f t="shared" si="7"/>
        <v>109769614</v>
      </c>
      <c r="O26" s="715">
        <f>O6+O10+O16+O20+O25</f>
        <v>217482461</v>
      </c>
      <c r="P26" s="717">
        <f>P6+P10+P16+P20+P25</f>
        <v>167012676</v>
      </c>
      <c r="Q26" s="718">
        <f>Q6+Q10+Q16+Q20+Q25</f>
        <v>216252847</v>
      </c>
      <c r="R26" s="127"/>
    </row>
    <row r="27" spans="1:20" ht="12.75" customHeight="1">
      <c r="A27" s="606" t="str">
        <f>head27a</f>
        <v>References</v>
      </c>
      <c r="B27" s="607"/>
      <c r="C27" s="566"/>
      <c r="D27" s="566"/>
      <c r="E27" s="566"/>
      <c r="F27" s="566"/>
      <c r="G27" s="566"/>
      <c r="H27" s="566"/>
      <c r="I27" s="566"/>
      <c r="J27" s="566"/>
      <c r="K27" s="566"/>
      <c r="L27" s="566"/>
      <c r="M27" s="566"/>
      <c r="N27" s="566"/>
      <c r="O27" s="566"/>
      <c r="P27" s="566"/>
      <c r="Q27" s="566"/>
      <c r="R27" s="127"/>
      <c r="S27" s="127"/>
      <c r="T27" s="127"/>
    </row>
    <row r="28" spans="1:20" ht="12.75" customHeight="1">
      <c r="A28" s="99" t="s">
        <v>483</v>
      </c>
      <c r="B28" s="48"/>
      <c r="C28" s="566"/>
      <c r="D28" s="566"/>
      <c r="E28" s="566"/>
      <c r="F28" s="566"/>
      <c r="G28" s="566"/>
      <c r="H28" s="566"/>
      <c r="I28" s="566"/>
      <c r="J28" s="566"/>
      <c r="K28" s="566"/>
      <c r="L28" s="566"/>
      <c r="M28" s="566"/>
      <c r="N28" s="566"/>
      <c r="O28" s="566"/>
      <c r="P28" s="566"/>
      <c r="Q28" s="566"/>
      <c r="R28" s="127"/>
      <c r="S28" s="127"/>
      <c r="T28" s="127"/>
    </row>
    <row r="29" spans="1:20" ht="12.75" customHeight="1">
      <c r="A29" s="99" t="s">
        <v>486</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19" t="s">
        <v>5</v>
      </c>
      <c r="B31" s="319"/>
      <c r="O31" s="167">
        <f>O26-'B5-Capex'!K65</f>
        <v>0</v>
      </c>
      <c r="P31" s="167">
        <f>P26-'B5-Capex'!L65</f>
        <v>0</v>
      </c>
      <c r="Q31" s="167">
        <f>Q26-'B5-Capex'!M65</f>
        <v>0</v>
      </c>
    </row>
    <row r="56" spans="2:2">
      <c r="B56" s="127"/>
    </row>
  </sheetData>
  <mergeCells count="3">
    <mergeCell ref="A2:A3"/>
    <mergeCell ref="B2:B3"/>
    <mergeCell ref="C2:N2"/>
  </mergeCells>
  <phoneticPr fontId="17"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sheetPr codeName="Sheet108" enableFormatConditionsCalculation="0">
    <tabColor indexed="42"/>
    <pageSetUpPr fitToPage="1"/>
  </sheetPr>
  <dimension ref="A1:N142"/>
  <sheetViews>
    <sheetView showGridLines="0" workbookViewId="0">
      <pane xSplit="2" ySplit="5" topLeftCell="C39" activePane="bottomRight" state="frozen"/>
      <selection activeCell="M17" sqref="M17:M63"/>
      <selection pane="topRight" activeCell="M17" sqref="M17:M63"/>
      <selection pane="bottomLeft" activeCell="M17" sqref="M17:M63"/>
      <selection pane="bottomRight" activeCell="I43" sqref="I43"/>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"&amp;ADJB18a&amp;" - "&amp;Date</f>
        <v>LIM333 Greater Tzaneen - Supporting Table SB18a Consolidated Adjustments Budget - capital expenditure on new assets by asset class - 26 FEBRUARY 2014</v>
      </c>
      <c r="B1" s="5"/>
      <c r="C1" s="58"/>
    </row>
    <row r="2" spans="1:14" ht="25.5">
      <c r="A2" s="1322" t="str">
        <f>desc</f>
        <v>Description</v>
      </c>
      <c r="B2" s="1322" t="str">
        <f>head27</f>
        <v>Ref</v>
      </c>
      <c r="C2" s="1319" t="str">
        <f>Head2</f>
        <v>Budget Year 2013/14</v>
      </c>
      <c r="D2" s="1320"/>
      <c r="E2" s="1320"/>
      <c r="F2" s="1320"/>
      <c r="G2" s="1320"/>
      <c r="H2" s="1320"/>
      <c r="I2" s="1320"/>
      <c r="J2" s="1320"/>
      <c r="K2" s="1321"/>
      <c r="L2" s="169" t="str">
        <f>Head10</f>
        <v>Budget Year +1 2014/15</v>
      </c>
      <c r="M2" s="170"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3" t="s">
        <v>1354</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9">
        <f t="shared" ref="C8:M8" si="0">C9+C12+C16+C20+C23</f>
        <v>128163347</v>
      </c>
      <c r="D8" s="719">
        <f t="shared" si="0"/>
        <v>0</v>
      </c>
      <c r="E8" s="719">
        <f t="shared" si="0"/>
        <v>0</v>
      </c>
      <c r="F8" s="719">
        <f t="shared" si="0"/>
        <v>0</v>
      </c>
      <c r="G8" s="719">
        <f t="shared" si="0"/>
        <v>0</v>
      </c>
      <c r="H8" s="719">
        <f t="shared" si="0"/>
        <v>2000000</v>
      </c>
      <c r="I8" s="719">
        <f t="shared" si="0"/>
        <v>28972050</v>
      </c>
      <c r="J8" s="720">
        <f>SUM(E8:I8)</f>
        <v>30972050</v>
      </c>
      <c r="K8" s="720">
        <f>IF(D8=0,C8+J8,D8+J8)</f>
        <v>159135397</v>
      </c>
      <c r="L8" s="719">
        <f t="shared" si="0"/>
        <v>137428056</v>
      </c>
      <c r="M8" s="721">
        <f t="shared" si="0"/>
        <v>150603197</v>
      </c>
      <c r="N8" s="873"/>
    </row>
    <row r="9" spans="1:14" ht="12.75" customHeight="1">
      <c r="A9" s="609" t="s">
        <v>487</v>
      </c>
      <c r="B9" s="73"/>
      <c r="C9" s="265">
        <f t="shared" ref="C9:M9" si="1">SUM(C10:C11)</f>
        <v>93403347</v>
      </c>
      <c r="D9" s="265">
        <f t="shared" si="1"/>
        <v>0</v>
      </c>
      <c r="E9" s="265">
        <f t="shared" si="1"/>
        <v>0</v>
      </c>
      <c r="F9" s="265">
        <f t="shared" si="1"/>
        <v>0</v>
      </c>
      <c r="G9" s="265">
        <f t="shared" si="1"/>
        <v>0</v>
      </c>
      <c r="H9" s="265">
        <f t="shared" si="1"/>
        <v>0</v>
      </c>
      <c r="I9" s="265">
        <f t="shared" si="1"/>
        <v>38472050</v>
      </c>
      <c r="J9" s="75">
        <f t="shared" ref="J9:J29" si="2">SUM(E9:I9)</f>
        <v>38472050</v>
      </c>
      <c r="K9" s="75">
        <f t="shared" ref="K9:K29" si="3">IF(D9=0,C9+J9,D9+J9)</f>
        <v>131875397</v>
      </c>
      <c r="L9" s="265">
        <f t="shared" si="1"/>
        <v>96478056</v>
      </c>
      <c r="M9" s="266">
        <f t="shared" si="1"/>
        <v>94671808</v>
      </c>
      <c r="N9" s="127"/>
    </row>
    <row r="10" spans="1:14" ht="12.75" customHeight="1">
      <c r="A10" s="610" t="s">
        <v>488</v>
      </c>
      <c r="B10" s="73"/>
      <c r="C10" s="109">
        <v>93403347</v>
      </c>
      <c r="D10" s="109"/>
      <c r="E10" s="109"/>
      <c r="F10" s="109"/>
      <c r="G10" s="109"/>
      <c r="H10" s="109"/>
      <c r="I10" s="109">
        <f>9555000+976140+12497614+13143296+2300000</f>
        <v>38472050</v>
      </c>
      <c r="J10" s="75">
        <f t="shared" si="2"/>
        <v>38472050</v>
      </c>
      <c r="K10" s="75">
        <f t="shared" si="3"/>
        <v>131875397</v>
      </c>
      <c r="L10" s="109">
        <v>96478056</v>
      </c>
      <c r="M10" s="109">
        <v>94671808</v>
      </c>
      <c r="N10" s="873"/>
    </row>
    <row r="11" spans="1:14" ht="12.75" customHeight="1">
      <c r="A11" s="610" t="s">
        <v>489</v>
      </c>
      <c r="B11" s="73"/>
      <c r="C11" s="109"/>
      <c r="D11" s="109"/>
      <c r="E11" s="109"/>
      <c r="F11" s="109"/>
      <c r="G11" s="109"/>
      <c r="H11" s="109"/>
      <c r="I11" s="109"/>
      <c r="J11" s="75">
        <f t="shared" si="2"/>
        <v>0</v>
      </c>
      <c r="K11" s="75">
        <f t="shared" si="3"/>
        <v>0</v>
      </c>
      <c r="L11" s="109"/>
      <c r="M11" s="110"/>
      <c r="N11" s="878"/>
    </row>
    <row r="12" spans="1:14" ht="12.75" customHeight="1">
      <c r="A12" s="609" t="s">
        <v>490</v>
      </c>
      <c r="B12" s="73"/>
      <c r="C12" s="131">
        <f t="shared" ref="C12:M12" si="4">SUM(C13:C15)</f>
        <v>34660000</v>
      </c>
      <c r="D12" s="131">
        <f t="shared" si="4"/>
        <v>0</v>
      </c>
      <c r="E12" s="131">
        <f t="shared" si="4"/>
        <v>0</v>
      </c>
      <c r="F12" s="131">
        <f t="shared" si="4"/>
        <v>0</v>
      </c>
      <c r="G12" s="131">
        <f t="shared" si="4"/>
        <v>0</v>
      </c>
      <c r="H12" s="131">
        <f t="shared" si="4"/>
        <v>2000000</v>
      </c>
      <c r="I12" s="131">
        <f t="shared" si="4"/>
        <v>-9500000</v>
      </c>
      <c r="J12" s="75">
        <f t="shared" si="2"/>
        <v>-7500000</v>
      </c>
      <c r="K12" s="75">
        <f t="shared" si="3"/>
        <v>27160000</v>
      </c>
      <c r="L12" s="131">
        <f t="shared" si="4"/>
        <v>37250000</v>
      </c>
      <c r="M12" s="132">
        <f t="shared" si="4"/>
        <v>52756389</v>
      </c>
      <c r="N12" s="878"/>
    </row>
    <row r="13" spans="1:14" ht="12.75" customHeight="1">
      <c r="A13" s="610" t="s">
        <v>491</v>
      </c>
      <c r="B13" s="73"/>
      <c r="C13" s="109"/>
      <c r="D13" s="109"/>
      <c r="E13" s="109"/>
      <c r="F13" s="109"/>
      <c r="G13" s="109"/>
      <c r="H13" s="109"/>
      <c r="I13" s="109"/>
      <c r="J13" s="75">
        <f t="shared" si="2"/>
        <v>0</v>
      </c>
      <c r="K13" s="75">
        <f t="shared" si="3"/>
        <v>0</v>
      </c>
      <c r="L13" s="109"/>
      <c r="M13" s="110"/>
      <c r="N13" s="878"/>
    </row>
    <row r="14" spans="1:14" ht="12.75" customHeight="1">
      <c r="A14" s="610" t="s">
        <v>492</v>
      </c>
      <c r="B14" s="73"/>
      <c r="C14" s="109">
        <v>32160000</v>
      </c>
      <c r="D14" s="109"/>
      <c r="E14" s="109"/>
      <c r="F14" s="109"/>
      <c r="G14" s="109"/>
      <c r="H14" s="109">
        <v>2000000</v>
      </c>
      <c r="I14" s="109">
        <v>-8000000</v>
      </c>
      <c r="J14" s="75">
        <f t="shared" si="2"/>
        <v>-6000000</v>
      </c>
      <c r="K14" s="75">
        <f t="shared" si="3"/>
        <v>26160000</v>
      </c>
      <c r="L14" s="109">
        <v>35020000</v>
      </c>
      <c r="M14" s="109">
        <v>45536389</v>
      </c>
      <c r="N14" s="878"/>
    </row>
    <row r="15" spans="1:14" ht="12.75" customHeight="1">
      <c r="A15" s="610" t="s">
        <v>493</v>
      </c>
      <c r="B15" s="73"/>
      <c r="C15" s="109">
        <v>2500000</v>
      </c>
      <c r="D15" s="109"/>
      <c r="E15" s="109"/>
      <c r="F15" s="109"/>
      <c r="G15" s="109"/>
      <c r="H15" s="109"/>
      <c r="I15" s="109">
        <v>-1500000</v>
      </c>
      <c r="J15" s="75">
        <f t="shared" si="2"/>
        <v>-1500000</v>
      </c>
      <c r="K15" s="75">
        <f t="shared" si="3"/>
        <v>1000000</v>
      </c>
      <c r="L15" s="109">
        <v>2230000</v>
      </c>
      <c r="M15" s="109">
        <v>7220000</v>
      </c>
      <c r="N15" s="878"/>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8"/>
    </row>
    <row r="17" spans="1:14" ht="12.75" customHeight="1">
      <c r="A17" s="610" t="s">
        <v>495</v>
      </c>
      <c r="B17" s="73"/>
      <c r="C17" s="109"/>
      <c r="D17" s="109"/>
      <c r="E17" s="109"/>
      <c r="F17" s="109"/>
      <c r="G17" s="109"/>
      <c r="H17" s="109"/>
      <c r="I17" s="109"/>
      <c r="J17" s="75">
        <f t="shared" si="2"/>
        <v>0</v>
      </c>
      <c r="K17" s="75">
        <f t="shared" si="3"/>
        <v>0</v>
      </c>
      <c r="L17" s="109"/>
      <c r="M17" s="110"/>
      <c r="N17" s="878"/>
    </row>
    <row r="18" spans="1:14" ht="12.75" customHeight="1">
      <c r="A18" s="610" t="s">
        <v>496</v>
      </c>
      <c r="B18" s="73"/>
      <c r="C18" s="109"/>
      <c r="D18" s="109"/>
      <c r="E18" s="109"/>
      <c r="F18" s="109"/>
      <c r="G18" s="109"/>
      <c r="H18" s="109"/>
      <c r="I18" s="109"/>
      <c r="J18" s="75">
        <f t="shared" si="2"/>
        <v>0</v>
      </c>
      <c r="K18" s="75">
        <f t="shared" si="3"/>
        <v>0</v>
      </c>
      <c r="L18" s="109"/>
      <c r="M18" s="110"/>
      <c r="N18" s="878"/>
    </row>
    <row r="19" spans="1:14" ht="12.75" customHeight="1">
      <c r="A19" s="610" t="s">
        <v>497</v>
      </c>
      <c r="B19" s="73"/>
      <c r="C19" s="109"/>
      <c r="D19" s="109"/>
      <c r="E19" s="109"/>
      <c r="F19" s="109"/>
      <c r="G19" s="109"/>
      <c r="H19" s="109"/>
      <c r="I19" s="109"/>
      <c r="J19" s="75">
        <f t="shared" si="2"/>
        <v>0</v>
      </c>
      <c r="K19" s="75">
        <f t="shared" si="3"/>
        <v>0</v>
      </c>
      <c r="L19" s="109"/>
      <c r="M19" s="110"/>
      <c r="N19" s="878"/>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8"/>
    </row>
    <row r="21" spans="1:14" ht="12.75" customHeight="1">
      <c r="A21" s="610" t="s">
        <v>497</v>
      </c>
      <c r="B21" s="73"/>
      <c r="C21" s="109"/>
      <c r="D21" s="109"/>
      <c r="E21" s="109"/>
      <c r="F21" s="109"/>
      <c r="G21" s="109"/>
      <c r="H21" s="109"/>
      <c r="I21" s="109"/>
      <c r="J21" s="75">
        <f t="shared" si="2"/>
        <v>0</v>
      </c>
      <c r="K21" s="75">
        <f t="shared" si="3"/>
        <v>0</v>
      </c>
      <c r="L21" s="109"/>
      <c r="M21" s="110"/>
      <c r="N21" s="878"/>
    </row>
    <row r="22" spans="1:14" ht="12.75" customHeight="1">
      <c r="A22" s="610" t="s">
        <v>499</v>
      </c>
      <c r="B22" s="73"/>
      <c r="C22" s="109"/>
      <c r="D22" s="109"/>
      <c r="E22" s="109"/>
      <c r="F22" s="109"/>
      <c r="G22" s="109"/>
      <c r="H22" s="109"/>
      <c r="I22" s="109"/>
      <c r="J22" s="75">
        <f t="shared" si="2"/>
        <v>0</v>
      </c>
      <c r="K22" s="75">
        <f t="shared" si="3"/>
        <v>0</v>
      </c>
      <c r="L22" s="109"/>
      <c r="M22" s="110"/>
      <c r="N22" s="878"/>
    </row>
    <row r="23" spans="1:14" ht="12.75" customHeight="1">
      <c r="A23" s="609" t="s">
        <v>500</v>
      </c>
      <c r="B23" s="73"/>
      <c r="C23" s="131">
        <f t="shared" ref="C23:M23" si="7">SUM(C24:C27)</f>
        <v>100000</v>
      </c>
      <c r="D23" s="131">
        <f t="shared" si="7"/>
        <v>0</v>
      </c>
      <c r="E23" s="131">
        <f t="shared" si="7"/>
        <v>0</v>
      </c>
      <c r="F23" s="131">
        <f t="shared" si="7"/>
        <v>0</v>
      </c>
      <c r="G23" s="131">
        <f t="shared" si="7"/>
        <v>0</v>
      </c>
      <c r="H23" s="131">
        <f t="shared" si="7"/>
        <v>0</v>
      </c>
      <c r="I23" s="131">
        <f t="shared" si="7"/>
        <v>0</v>
      </c>
      <c r="J23" s="75">
        <f t="shared" si="2"/>
        <v>0</v>
      </c>
      <c r="K23" s="75">
        <f t="shared" si="3"/>
        <v>100000</v>
      </c>
      <c r="L23" s="131">
        <f t="shared" si="7"/>
        <v>3700000</v>
      </c>
      <c r="M23" s="132">
        <f t="shared" si="7"/>
        <v>3175000</v>
      </c>
      <c r="N23" s="878"/>
    </row>
    <row r="24" spans="1:14" ht="12.75" customHeight="1">
      <c r="A24" s="612" t="s">
        <v>1240</v>
      </c>
      <c r="B24" s="73"/>
      <c r="C24" s="109" t="s">
        <v>1787</v>
      </c>
      <c r="D24" s="109"/>
      <c r="E24" s="109"/>
      <c r="F24" s="109"/>
      <c r="G24" s="109"/>
      <c r="H24" s="109"/>
      <c r="I24" s="109"/>
      <c r="J24" s="75">
        <f t="shared" si="2"/>
        <v>0</v>
      </c>
      <c r="K24" s="75" t="e">
        <f t="shared" si="3"/>
        <v>#VALUE!</v>
      </c>
      <c r="L24" s="109">
        <v>1500000</v>
      </c>
      <c r="M24" s="109">
        <v>1400000</v>
      </c>
      <c r="N24" s="878"/>
    </row>
    <row r="25" spans="1:14" ht="12.75" customHeight="1">
      <c r="A25" s="612" t="s">
        <v>501</v>
      </c>
      <c r="B25" s="73">
        <v>2</v>
      </c>
      <c r="C25" s="109"/>
      <c r="D25" s="109"/>
      <c r="E25" s="109"/>
      <c r="F25" s="109"/>
      <c r="G25" s="109"/>
      <c r="H25" s="109"/>
      <c r="I25" s="109"/>
      <c r="J25" s="75">
        <f t="shared" si="2"/>
        <v>0</v>
      </c>
      <c r="K25" s="75">
        <f t="shared" si="3"/>
        <v>0</v>
      </c>
      <c r="L25" s="109"/>
      <c r="M25" s="109"/>
      <c r="N25" s="878"/>
    </row>
    <row r="26" spans="1:14" ht="12.75" customHeight="1">
      <c r="A26" s="612" t="s">
        <v>502</v>
      </c>
      <c r="B26" s="73"/>
      <c r="C26" s="109"/>
      <c r="D26" s="109"/>
      <c r="E26" s="109"/>
      <c r="F26" s="109"/>
      <c r="G26" s="109"/>
      <c r="H26" s="109"/>
      <c r="I26" s="109"/>
      <c r="J26" s="75">
        <f t="shared" si="2"/>
        <v>0</v>
      </c>
      <c r="K26" s="75">
        <f t="shared" si="3"/>
        <v>0</v>
      </c>
      <c r="L26" s="109"/>
      <c r="M26" s="109"/>
      <c r="N26" s="878"/>
    </row>
    <row r="27" spans="1:14" ht="12.75" customHeight="1">
      <c r="A27" s="612" t="s">
        <v>673</v>
      </c>
      <c r="B27" s="73">
        <v>3</v>
      </c>
      <c r="C27" s="109">
        <v>100000</v>
      </c>
      <c r="D27" s="109"/>
      <c r="E27" s="109"/>
      <c r="F27" s="109"/>
      <c r="G27" s="109"/>
      <c r="H27" s="109"/>
      <c r="I27" s="109"/>
      <c r="J27" s="75">
        <f t="shared" si="2"/>
        <v>0</v>
      </c>
      <c r="K27" s="75">
        <f t="shared" si="3"/>
        <v>100000</v>
      </c>
      <c r="L27" s="109">
        <v>2200000</v>
      </c>
      <c r="M27" s="109">
        <v>1775000</v>
      </c>
      <c r="N27" s="878"/>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14042000</v>
      </c>
      <c r="D29" s="140">
        <f t="shared" si="8"/>
        <v>0</v>
      </c>
      <c r="E29" s="140">
        <f t="shared" si="8"/>
        <v>0</v>
      </c>
      <c r="F29" s="140">
        <f t="shared" si="8"/>
        <v>0</v>
      </c>
      <c r="G29" s="140">
        <f t="shared" si="8"/>
        <v>0</v>
      </c>
      <c r="H29" s="140">
        <f t="shared" si="8"/>
        <v>0</v>
      </c>
      <c r="I29" s="140">
        <f t="shared" si="8"/>
        <v>4750000</v>
      </c>
      <c r="J29" s="75">
        <f t="shared" si="2"/>
        <v>4750000</v>
      </c>
      <c r="K29" s="75">
        <f t="shared" si="3"/>
        <v>18792000</v>
      </c>
      <c r="L29" s="140">
        <f t="shared" si="8"/>
        <v>4500000</v>
      </c>
      <c r="M29" s="141">
        <f t="shared" si="8"/>
        <v>16642600</v>
      </c>
      <c r="N29" s="127"/>
    </row>
    <row r="30" spans="1:14" ht="12.75" customHeight="1">
      <c r="A30" s="128" t="s">
        <v>503</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c r="A31" s="128" t="s">
        <v>504</v>
      </c>
      <c r="B31" s="73"/>
      <c r="C31" s="129">
        <v>9000000</v>
      </c>
      <c r="D31" s="109"/>
      <c r="E31" s="109"/>
      <c r="F31" s="109"/>
      <c r="G31" s="109"/>
      <c r="H31" s="109"/>
      <c r="I31" s="109"/>
      <c r="J31" s="75">
        <f t="shared" si="9"/>
        <v>0</v>
      </c>
      <c r="K31" s="75">
        <f t="shared" si="10"/>
        <v>9000000</v>
      </c>
      <c r="L31" s="109">
        <v>3000000</v>
      </c>
      <c r="M31" s="109">
        <v>14142600</v>
      </c>
      <c r="N31" s="127"/>
    </row>
    <row r="32" spans="1:14" ht="12.75" customHeight="1">
      <c r="A32" s="128" t="s">
        <v>505</v>
      </c>
      <c r="B32" s="73"/>
      <c r="C32" s="129"/>
      <c r="D32" s="109"/>
      <c r="E32" s="109"/>
      <c r="F32" s="109"/>
      <c r="G32" s="109"/>
      <c r="H32" s="109"/>
      <c r="I32" s="109"/>
      <c r="J32" s="75">
        <f t="shared" si="9"/>
        <v>0</v>
      </c>
      <c r="K32" s="75">
        <f t="shared" si="10"/>
        <v>0</v>
      </c>
      <c r="L32" s="109"/>
      <c r="M32" s="109"/>
      <c r="N32" s="127"/>
    </row>
    <row r="33" spans="1:14" ht="12.75" customHeight="1">
      <c r="A33" s="128" t="s">
        <v>506</v>
      </c>
      <c r="B33" s="73"/>
      <c r="C33" s="129"/>
      <c r="D33" s="109"/>
      <c r="E33" s="109"/>
      <c r="F33" s="109"/>
      <c r="G33" s="109"/>
      <c r="H33" s="109"/>
      <c r="I33" s="109"/>
      <c r="J33" s="75">
        <f t="shared" si="9"/>
        <v>0</v>
      </c>
      <c r="K33" s="75">
        <f t="shared" si="10"/>
        <v>0</v>
      </c>
      <c r="L33" s="109"/>
      <c r="M33" s="109">
        <v>500000</v>
      </c>
      <c r="N33" s="127"/>
    </row>
    <row r="34" spans="1:14" ht="12.75" customHeight="1">
      <c r="A34" s="128" t="s">
        <v>507</v>
      </c>
      <c r="B34" s="73"/>
      <c r="C34" s="129">
        <v>3792000</v>
      </c>
      <c r="D34" s="109"/>
      <c r="E34" s="109"/>
      <c r="F34" s="109"/>
      <c r="G34" s="109"/>
      <c r="H34" s="109"/>
      <c r="I34" s="109"/>
      <c r="J34" s="75">
        <f t="shared" si="9"/>
        <v>0</v>
      </c>
      <c r="K34" s="75">
        <f t="shared" si="10"/>
        <v>3792000</v>
      </c>
      <c r="L34" s="109"/>
      <c r="M34" s="109"/>
      <c r="N34" s="127"/>
    </row>
    <row r="35" spans="1:14" ht="12.75" customHeight="1">
      <c r="A35" s="128" t="s">
        <v>508</v>
      </c>
      <c r="B35" s="73"/>
      <c r="C35" s="129"/>
      <c r="D35" s="109"/>
      <c r="E35" s="109"/>
      <c r="F35" s="109"/>
      <c r="G35" s="109"/>
      <c r="H35" s="109"/>
      <c r="I35" s="109"/>
      <c r="J35" s="75">
        <f t="shared" si="9"/>
        <v>0</v>
      </c>
      <c r="K35" s="75">
        <f t="shared" si="10"/>
        <v>0</v>
      </c>
      <c r="L35" s="109"/>
      <c r="M35" s="109"/>
      <c r="N35" s="127"/>
    </row>
    <row r="36" spans="1:14" ht="12.75" customHeight="1">
      <c r="A36" s="128" t="s">
        <v>509</v>
      </c>
      <c r="B36" s="73"/>
      <c r="C36" s="129"/>
      <c r="D36" s="109"/>
      <c r="E36" s="109"/>
      <c r="F36" s="109"/>
      <c r="G36" s="109"/>
      <c r="H36" s="109"/>
      <c r="I36" s="109"/>
      <c r="J36" s="75">
        <f t="shared" si="9"/>
        <v>0</v>
      </c>
      <c r="K36" s="75">
        <f t="shared" si="10"/>
        <v>0</v>
      </c>
      <c r="L36" s="109"/>
      <c r="M36" s="109"/>
      <c r="N36" s="127"/>
    </row>
    <row r="37" spans="1:14" ht="12.75" customHeight="1">
      <c r="A37" s="128" t="s">
        <v>510</v>
      </c>
      <c r="B37" s="73"/>
      <c r="C37" s="129"/>
      <c r="D37" s="109"/>
      <c r="E37" s="109"/>
      <c r="F37" s="109"/>
      <c r="G37" s="109"/>
      <c r="H37" s="109"/>
      <c r="I37" s="109"/>
      <c r="J37" s="75">
        <f t="shared" si="9"/>
        <v>0</v>
      </c>
      <c r="K37" s="75">
        <f t="shared" si="10"/>
        <v>0</v>
      </c>
      <c r="L37" s="109"/>
      <c r="M37" s="109"/>
      <c r="N37" s="127"/>
    </row>
    <row r="38" spans="1:14" ht="12.75" customHeight="1">
      <c r="A38" s="128" t="s">
        <v>511</v>
      </c>
      <c r="B38" s="73"/>
      <c r="C38" s="129"/>
      <c r="D38" s="109"/>
      <c r="E38" s="109"/>
      <c r="F38" s="109"/>
      <c r="G38" s="109"/>
      <c r="H38" s="109"/>
      <c r="I38" s="109"/>
      <c r="J38" s="75">
        <f t="shared" si="9"/>
        <v>0</v>
      </c>
      <c r="K38" s="75">
        <f t="shared" si="10"/>
        <v>0</v>
      </c>
      <c r="L38" s="109"/>
      <c r="M38" s="109"/>
      <c r="N38" s="127"/>
    </row>
    <row r="39" spans="1:14" ht="12.75" customHeight="1">
      <c r="A39" s="128" t="s">
        <v>512</v>
      </c>
      <c r="B39" s="73"/>
      <c r="C39" s="129"/>
      <c r="D39" s="109"/>
      <c r="E39" s="109"/>
      <c r="F39" s="109"/>
      <c r="G39" s="109"/>
      <c r="H39" s="109"/>
      <c r="I39" s="109"/>
      <c r="J39" s="75">
        <f t="shared" si="9"/>
        <v>0</v>
      </c>
      <c r="K39" s="75">
        <f t="shared" si="10"/>
        <v>0</v>
      </c>
      <c r="L39" s="109"/>
      <c r="M39" s="109"/>
      <c r="N39" s="127"/>
    </row>
    <row r="40" spans="1:14" ht="12.75" customHeight="1">
      <c r="A40" s="128" t="s">
        <v>513</v>
      </c>
      <c r="B40" s="73"/>
      <c r="C40" s="129"/>
      <c r="D40" s="109"/>
      <c r="E40" s="109"/>
      <c r="F40" s="109"/>
      <c r="G40" s="109"/>
      <c r="H40" s="109"/>
      <c r="I40" s="109"/>
      <c r="J40" s="75">
        <f t="shared" si="9"/>
        <v>0</v>
      </c>
      <c r="K40" s="75">
        <f t="shared" si="10"/>
        <v>0</v>
      </c>
      <c r="L40" s="109"/>
      <c r="M40" s="109"/>
      <c r="N40" s="127"/>
    </row>
    <row r="41" spans="1:14" ht="12.75" customHeight="1">
      <c r="A41" s="128" t="s">
        <v>514</v>
      </c>
      <c r="B41" s="73"/>
      <c r="C41" s="129">
        <v>1250000</v>
      </c>
      <c r="D41" s="109"/>
      <c r="E41" s="109"/>
      <c r="F41" s="109"/>
      <c r="G41" s="109"/>
      <c r="H41" s="109"/>
      <c r="I41" s="109"/>
      <c r="J41" s="75">
        <f t="shared" si="9"/>
        <v>0</v>
      </c>
      <c r="K41" s="75">
        <f t="shared" si="10"/>
        <v>1250000</v>
      </c>
      <c r="L41" s="109">
        <v>1500000</v>
      </c>
      <c r="M41" s="109">
        <v>2000000</v>
      </c>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f>1000000+3750000</f>
        <v>4750000</v>
      </c>
      <c r="J43" s="75">
        <f>SUM(E43:I43)</f>
        <v>4750000</v>
      </c>
      <c r="K43" s="75">
        <f>IF(D43=0,C43+J43,D43+J43)</f>
        <v>4750000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SUM(C46:C47)</f>
        <v>0</v>
      </c>
      <c r="D45" s="140">
        <f t="shared" ref="D45:I45" si="11">SUM(D46:D47)</f>
        <v>0</v>
      </c>
      <c r="E45" s="140">
        <f t="shared" si="11"/>
        <v>0</v>
      </c>
      <c r="F45" s="140">
        <f t="shared" si="11"/>
        <v>0</v>
      </c>
      <c r="G45" s="140">
        <f t="shared" si="11"/>
        <v>0</v>
      </c>
      <c r="H45" s="140">
        <f t="shared" si="11"/>
        <v>0</v>
      </c>
      <c r="I45" s="140">
        <f t="shared" si="11"/>
        <v>0</v>
      </c>
      <c r="J45" s="140">
        <f>SUM(J46:J47)</f>
        <v>0</v>
      </c>
      <c r="K45" s="140">
        <f>SUM(K46:K47)</f>
        <v>0</v>
      </c>
      <c r="L45" s="140">
        <f>SUM(L46:L47)</f>
        <v>0</v>
      </c>
      <c r="M45" s="141">
        <f>SUM(M46:M47)</f>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1000000</v>
      </c>
      <c r="D49" s="140">
        <f t="shared" si="12"/>
        <v>0</v>
      </c>
      <c r="E49" s="140">
        <f t="shared" si="12"/>
        <v>0</v>
      </c>
      <c r="F49" s="140">
        <f t="shared" si="12"/>
        <v>0</v>
      </c>
      <c r="G49" s="140">
        <f t="shared" si="12"/>
        <v>0</v>
      </c>
      <c r="H49" s="140">
        <f t="shared" si="12"/>
        <v>0</v>
      </c>
      <c r="I49" s="140">
        <f t="shared" si="12"/>
        <v>-1000000</v>
      </c>
      <c r="J49" s="140">
        <f t="shared" si="12"/>
        <v>-1000000</v>
      </c>
      <c r="K49" s="140">
        <f t="shared" si="12"/>
        <v>0</v>
      </c>
      <c r="L49" s="140">
        <f t="shared" si="12"/>
        <v>3000000</v>
      </c>
      <c r="M49" s="141">
        <f t="shared" si="12"/>
        <v>11000000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v>1000000</v>
      </c>
      <c r="D51" s="109"/>
      <c r="E51" s="109"/>
      <c r="F51" s="109"/>
      <c r="G51" s="109"/>
      <c r="H51" s="109"/>
      <c r="I51" s="109">
        <v>-1000000</v>
      </c>
      <c r="J51" s="75">
        <f>SUM(E51:I51)</f>
        <v>-1000000</v>
      </c>
      <c r="K51" s="75">
        <f>IF(D51=0,C51+J51,D51+J51)</f>
        <v>0</v>
      </c>
      <c r="L51" s="109">
        <v>3000000</v>
      </c>
      <c r="M51" s="109">
        <v>11000000</v>
      </c>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9124500</v>
      </c>
      <c r="D53" s="140">
        <f t="shared" ref="D53:M53" si="13">SUM(D54:D65)</f>
        <v>0</v>
      </c>
      <c r="E53" s="140">
        <f t="shared" si="13"/>
        <v>0</v>
      </c>
      <c r="F53" s="140">
        <f t="shared" si="13"/>
        <v>0</v>
      </c>
      <c r="G53" s="140">
        <f t="shared" si="13"/>
        <v>0</v>
      </c>
      <c r="H53" s="140">
        <f t="shared" si="13"/>
        <v>18350000</v>
      </c>
      <c r="I53" s="140">
        <f t="shared" si="13"/>
        <v>7056704</v>
      </c>
      <c r="J53" s="140">
        <f t="shared" si="13"/>
        <v>25406704</v>
      </c>
      <c r="K53" s="140">
        <f>SUM(K54:K65)</f>
        <v>34531204</v>
      </c>
      <c r="L53" s="140">
        <f t="shared" si="13"/>
        <v>8132920</v>
      </c>
      <c r="M53" s="141">
        <f t="shared" si="13"/>
        <v>23371717</v>
      </c>
      <c r="N53" s="127"/>
    </row>
    <row r="54" spans="1:14" ht="12.75" customHeight="1">
      <c r="A54" s="30" t="s">
        <v>519</v>
      </c>
      <c r="B54" s="73"/>
      <c r="C54" s="129">
        <v>480000</v>
      </c>
      <c r="D54" s="109"/>
      <c r="E54" s="109"/>
      <c r="F54" s="109"/>
      <c r="G54" s="109"/>
      <c r="H54" s="109"/>
      <c r="I54" s="109">
        <v>1656704</v>
      </c>
      <c r="J54" s="75">
        <f>SUM(E54:I54)</f>
        <v>1656704</v>
      </c>
      <c r="K54" s="75">
        <f>IF(D54=0,C54+J54,D54+J54)</f>
        <v>2136704</v>
      </c>
      <c r="L54" s="109"/>
      <c r="M54" s="110"/>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131">
        <f>SUM(E55:I55)</f>
        <v>0</v>
      </c>
      <c r="K55" s="131">
        <f>IF(D55=0,C55+J55,D55+J55)</f>
        <v>0</v>
      </c>
      <c r="L55" s="131">
        <f>L81</f>
        <v>0</v>
      </c>
      <c r="M55" s="132">
        <f>M81</f>
        <v>0</v>
      </c>
      <c r="N55" s="127"/>
    </row>
    <row r="56" spans="1:14" ht="12.75" customHeight="1">
      <c r="A56" s="30" t="s">
        <v>521</v>
      </c>
      <c r="B56" s="136"/>
      <c r="C56" s="129">
        <v>5000000</v>
      </c>
      <c r="D56" s="109"/>
      <c r="E56" s="109"/>
      <c r="F56" s="109"/>
      <c r="G56" s="109"/>
      <c r="H56" s="109">
        <v>18350000</v>
      </c>
      <c r="I56" s="109">
        <v>3400000</v>
      </c>
      <c r="J56" s="75">
        <f t="shared" ref="J56:J65" si="15">SUM(E56:I56)</f>
        <v>21750000</v>
      </c>
      <c r="K56" s="75">
        <f t="shared" ref="K56:K65" si="16">IF(D56=0,C56+J56,D56+J56)</f>
        <v>26750000</v>
      </c>
      <c r="L56" s="109">
        <v>1820000</v>
      </c>
      <c r="M56" s="109">
        <v>14150000</v>
      </c>
      <c r="N56" s="127"/>
    </row>
    <row r="57" spans="1:14" ht="12.75" customHeight="1">
      <c r="A57" s="30" t="s">
        <v>522</v>
      </c>
      <c r="B57" s="73"/>
      <c r="C57" s="129"/>
      <c r="D57" s="109"/>
      <c r="E57" s="109"/>
      <c r="F57" s="109"/>
      <c r="G57" s="109"/>
      <c r="H57" s="109"/>
      <c r="I57" s="109"/>
      <c r="J57" s="75">
        <f t="shared" si="15"/>
        <v>0</v>
      </c>
      <c r="K57" s="75">
        <f t="shared" si="16"/>
        <v>0</v>
      </c>
      <c r="L57" s="109"/>
      <c r="M57" s="109"/>
      <c r="N57" s="127"/>
    </row>
    <row r="58" spans="1:14" ht="12.75" customHeight="1">
      <c r="A58" s="30" t="s">
        <v>523</v>
      </c>
      <c r="B58" s="73"/>
      <c r="C58" s="129">
        <v>2604500</v>
      </c>
      <c r="D58" s="109"/>
      <c r="E58" s="109"/>
      <c r="F58" s="109"/>
      <c r="G58" s="109"/>
      <c r="H58" s="109"/>
      <c r="I58" s="109">
        <f>-370000-280000-400000-120000-470000-470000</f>
        <v>-2110000</v>
      </c>
      <c r="J58" s="75">
        <f t="shared" si="15"/>
        <v>-2110000</v>
      </c>
      <c r="K58" s="75">
        <f t="shared" si="16"/>
        <v>494500</v>
      </c>
      <c r="L58" s="109">
        <f>3000000+25000</f>
        <v>3025000</v>
      </c>
      <c r="M58" s="109">
        <f>3000000+27500</f>
        <v>3027500</v>
      </c>
      <c r="N58" s="127"/>
    </row>
    <row r="59" spans="1:14" ht="12.75" customHeight="1">
      <c r="A59" s="30" t="s">
        <v>524</v>
      </c>
      <c r="B59" s="73"/>
      <c r="C59" s="129"/>
      <c r="D59" s="109"/>
      <c r="E59" s="109"/>
      <c r="F59" s="109"/>
      <c r="G59" s="109"/>
      <c r="H59" s="109"/>
      <c r="I59" s="109"/>
      <c r="J59" s="75">
        <f t="shared" si="15"/>
        <v>0</v>
      </c>
      <c r="K59" s="75">
        <f t="shared" si="16"/>
        <v>0</v>
      </c>
      <c r="L59" s="109"/>
      <c r="M59" s="110"/>
      <c r="N59" s="127"/>
    </row>
    <row r="60" spans="1:14" ht="12.75" customHeight="1">
      <c r="A60" s="30" t="s">
        <v>525</v>
      </c>
      <c r="B60" s="73"/>
      <c r="C60" s="129"/>
      <c r="D60" s="109"/>
      <c r="E60" s="109"/>
      <c r="F60" s="109"/>
      <c r="G60" s="109"/>
      <c r="H60" s="109"/>
      <c r="I60" s="109"/>
      <c r="J60" s="75">
        <f t="shared" si="15"/>
        <v>0</v>
      </c>
      <c r="K60" s="75">
        <f t="shared" si="16"/>
        <v>0</v>
      </c>
      <c r="L60" s="109"/>
      <c r="M60" s="110"/>
      <c r="N60" s="127"/>
    </row>
    <row r="61" spans="1:14" ht="12.75" customHeight="1">
      <c r="A61" s="30" t="s">
        <v>526</v>
      </c>
      <c r="B61" s="73"/>
      <c r="C61" s="129"/>
      <c r="D61" s="109"/>
      <c r="E61" s="109"/>
      <c r="F61" s="109"/>
      <c r="G61" s="109"/>
      <c r="H61" s="109"/>
      <c r="I61" s="109"/>
      <c r="J61" s="75">
        <f t="shared" si="15"/>
        <v>0</v>
      </c>
      <c r="K61" s="75">
        <f t="shared" si="16"/>
        <v>0</v>
      </c>
      <c r="L61" s="109"/>
      <c r="M61" s="110"/>
      <c r="N61" s="127"/>
    </row>
    <row r="62" spans="1:14" ht="12.75" customHeight="1">
      <c r="A62" s="30" t="s">
        <v>527</v>
      </c>
      <c r="B62" s="73"/>
      <c r="C62" s="129"/>
      <c r="D62" s="109"/>
      <c r="E62" s="109"/>
      <c r="F62" s="109"/>
      <c r="G62" s="109"/>
      <c r="H62" s="109"/>
      <c r="I62" s="109"/>
      <c r="J62" s="75">
        <f t="shared" si="15"/>
        <v>0</v>
      </c>
      <c r="K62" s="75">
        <f t="shared" si="16"/>
        <v>0</v>
      </c>
      <c r="L62" s="109"/>
      <c r="M62" s="110"/>
      <c r="N62" s="127"/>
    </row>
    <row r="63" spans="1:14" ht="12.75" customHeight="1">
      <c r="A63" s="30" t="s">
        <v>528</v>
      </c>
      <c r="B63" s="73"/>
      <c r="C63" s="129"/>
      <c r="D63" s="109"/>
      <c r="E63" s="109"/>
      <c r="F63" s="109"/>
      <c r="G63" s="109"/>
      <c r="H63" s="109"/>
      <c r="I63" s="109"/>
      <c r="J63" s="75">
        <f t="shared" si="15"/>
        <v>0</v>
      </c>
      <c r="K63" s="75">
        <f t="shared" si="16"/>
        <v>0</v>
      </c>
      <c r="L63" s="109"/>
      <c r="M63" s="110"/>
      <c r="N63" s="127"/>
    </row>
    <row r="64" spans="1:14" ht="12.75" customHeight="1">
      <c r="A64" s="30" t="s">
        <v>529</v>
      </c>
      <c r="B64" s="73"/>
      <c r="C64" s="129"/>
      <c r="D64" s="109"/>
      <c r="E64" s="109"/>
      <c r="F64" s="109"/>
      <c r="G64" s="109"/>
      <c r="H64" s="109"/>
      <c r="I64" s="109"/>
      <c r="J64" s="75">
        <f t="shared" si="15"/>
        <v>0</v>
      </c>
      <c r="K64" s="75">
        <f t="shared" si="16"/>
        <v>0</v>
      </c>
      <c r="L64" s="109"/>
      <c r="M64" s="110"/>
      <c r="N64" s="127"/>
    </row>
    <row r="65" spans="1:14" ht="12.75" customHeight="1">
      <c r="A65" s="128" t="s">
        <v>673</v>
      </c>
      <c r="B65" s="73"/>
      <c r="C65" s="129">
        <v>1040000</v>
      </c>
      <c r="D65" s="109"/>
      <c r="E65" s="109"/>
      <c r="F65" s="109"/>
      <c r="G65" s="109"/>
      <c r="H65" s="109"/>
      <c r="I65" s="109">
        <f>4500000-170000-220000</f>
        <v>4110000</v>
      </c>
      <c r="J65" s="75">
        <f t="shared" si="15"/>
        <v>4110000</v>
      </c>
      <c r="K65" s="75">
        <f t="shared" si="16"/>
        <v>5150000</v>
      </c>
      <c r="L65" s="109">
        <v>3287920</v>
      </c>
      <c r="M65" s="109">
        <v>6194217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SUM(C68:C69)</f>
        <v>0</v>
      </c>
      <c r="D67" s="140">
        <f t="shared" ref="D67:M67" si="17">SUM(D68:D69)</f>
        <v>0</v>
      </c>
      <c r="E67" s="140">
        <f t="shared" si="17"/>
        <v>0</v>
      </c>
      <c r="F67" s="140">
        <f t="shared" si="17"/>
        <v>0</v>
      </c>
      <c r="G67" s="140">
        <f t="shared" si="17"/>
        <v>0</v>
      </c>
      <c r="H67" s="140">
        <f t="shared" si="17"/>
        <v>0</v>
      </c>
      <c r="I67" s="140">
        <f t="shared" si="17"/>
        <v>0</v>
      </c>
      <c r="J67" s="140">
        <f t="shared" si="17"/>
        <v>0</v>
      </c>
      <c r="K67" s="140">
        <f>SUM(K68:K69)</f>
        <v>0</v>
      </c>
      <c r="L67" s="140">
        <f t="shared" si="17"/>
        <v>0</v>
      </c>
      <c r="M67" s="141">
        <f t="shared" si="17"/>
        <v>0</v>
      </c>
      <c r="N67" s="127"/>
    </row>
    <row r="68" spans="1:14" ht="12.75" customHeight="1">
      <c r="A68" s="838"/>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SUM(K72:K73)</f>
        <v>0</v>
      </c>
      <c r="L71" s="140">
        <f t="shared" si="18"/>
        <v>0</v>
      </c>
      <c r="M71" s="141">
        <f t="shared" si="18"/>
        <v>0</v>
      </c>
      <c r="N71" s="127"/>
    </row>
    <row r="72" spans="1:14" ht="12.75" customHeight="1">
      <c r="A72" s="838"/>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 t="shared" si="19"/>
        <v>0</v>
      </c>
      <c r="K75" s="140">
        <f>SUM(K76:K77)</f>
        <v>0</v>
      </c>
      <c r="L75" s="140">
        <f t="shared" si="19"/>
        <v>0</v>
      </c>
      <c r="M75" s="141">
        <f t="shared" si="19"/>
        <v>0</v>
      </c>
      <c r="N75" s="127"/>
    </row>
    <row r="76" spans="1:14" ht="12.75" customHeight="1">
      <c r="A76" s="30" t="s">
        <v>530</v>
      </c>
      <c r="B76" s="73"/>
      <c r="C76" s="839"/>
      <c r="D76" s="840"/>
      <c r="E76" s="840"/>
      <c r="F76" s="840"/>
      <c r="G76" s="840"/>
      <c r="H76" s="840"/>
      <c r="I76" s="840"/>
      <c r="J76" s="140">
        <f>SUM(E76:I76)</f>
        <v>0</v>
      </c>
      <c r="K76" s="140">
        <f>IF(D76=0,C76+J76,D76+J76)</f>
        <v>0</v>
      </c>
      <c r="L76" s="840"/>
      <c r="M76" s="841"/>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12.75" customHeight="1">
      <c r="A79" s="884" t="s">
        <v>1355</v>
      </c>
      <c r="B79" s="155">
        <v>1</v>
      </c>
      <c r="C79" s="156">
        <f t="shared" ref="C79:I79" si="20">C8+C29+C45+C49+C53+C75+C67+C71</f>
        <v>152329847</v>
      </c>
      <c r="D79" s="116">
        <f t="shared" si="20"/>
        <v>0</v>
      </c>
      <c r="E79" s="116">
        <f t="shared" si="20"/>
        <v>0</v>
      </c>
      <c r="F79" s="116">
        <f t="shared" si="20"/>
        <v>0</v>
      </c>
      <c r="G79" s="116">
        <f t="shared" si="20"/>
        <v>0</v>
      </c>
      <c r="H79" s="116">
        <f t="shared" si="20"/>
        <v>20350000</v>
      </c>
      <c r="I79" s="116">
        <f t="shared" si="20"/>
        <v>39778754</v>
      </c>
      <c r="J79" s="116">
        <f>J8+J29+J45+J49+J53+J71+J75</f>
        <v>60128754</v>
      </c>
      <c r="K79" s="116">
        <f>K8+K29+K45+K49+K53+K71+K75</f>
        <v>212458601</v>
      </c>
      <c r="L79" s="116">
        <f>L8+L29+L45+L49+L53+L75+L67+L71</f>
        <v>153060976</v>
      </c>
      <c r="M79" s="117">
        <f>M8+M29+M45+M49+M53+M75+M67+M71</f>
        <v>201617514</v>
      </c>
      <c r="N79" s="127"/>
    </row>
    <row r="80" spans="1:14" ht="12.75" customHeight="1">
      <c r="A80" s="520"/>
      <c r="B80" s="120"/>
      <c r="C80" s="521"/>
      <c r="D80" s="521"/>
      <c r="E80" s="521"/>
      <c r="F80" s="521"/>
      <c r="G80" s="521"/>
      <c r="H80" s="521"/>
      <c r="I80" s="521"/>
      <c r="J80" s="521"/>
      <c r="K80" s="521"/>
      <c r="L80" s="521"/>
      <c r="M80" s="521"/>
      <c r="N80" s="127"/>
    </row>
    <row r="81" spans="1:14" ht="12.75" customHeight="1">
      <c r="A81" s="879" t="s">
        <v>520</v>
      </c>
      <c r="B81" s="311">
        <v>18</v>
      </c>
      <c r="C81" s="880">
        <f t="shared" ref="C81:I81" si="21">SUM(C82:C85)</f>
        <v>0</v>
      </c>
      <c r="D81" s="881">
        <f t="shared" si="21"/>
        <v>0</v>
      </c>
      <c r="E81" s="881">
        <f t="shared" si="21"/>
        <v>0</v>
      </c>
      <c r="F81" s="881">
        <f t="shared" si="21"/>
        <v>0</v>
      </c>
      <c r="G81" s="881">
        <f t="shared" si="21"/>
        <v>0</v>
      </c>
      <c r="H81" s="881">
        <f t="shared" si="21"/>
        <v>0</v>
      </c>
      <c r="I81" s="881">
        <f t="shared" si="21"/>
        <v>0</v>
      </c>
      <c r="J81" s="881">
        <f>SUM(E81:I81)</f>
        <v>0</v>
      </c>
      <c r="K81" s="881">
        <f>IF(D81=0,C81+J81,D81+J81)</f>
        <v>0</v>
      </c>
      <c r="L81" s="881">
        <f>SUM(L82:L85)</f>
        <v>0</v>
      </c>
      <c r="M81" s="882">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5" t="s">
        <v>1356</v>
      </c>
      <c r="B87" s="120"/>
      <c r="C87" s="53"/>
      <c r="D87" s="53"/>
      <c r="E87" s="53"/>
      <c r="F87" s="53"/>
      <c r="G87" s="53"/>
      <c r="H87" s="53"/>
      <c r="I87" s="5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99" t="s">
        <v>535</v>
      </c>
      <c r="B90" s="93"/>
      <c r="C90" s="96"/>
      <c r="D90" s="96"/>
      <c r="E90" s="96"/>
      <c r="F90" s="96"/>
      <c r="G90" s="96"/>
      <c r="H90" s="96"/>
      <c r="I90" s="96"/>
      <c r="J90" s="96"/>
      <c r="K90" s="96"/>
      <c r="L90" s="96"/>
      <c r="M90" s="96"/>
      <c r="N90" s="127"/>
    </row>
    <row r="91" spans="1:14" ht="12.75" customHeight="1">
      <c r="A91" s="158" t="s">
        <v>536</v>
      </c>
      <c r="B91" s="93"/>
      <c r="C91" s="96"/>
      <c r="D91" s="96"/>
      <c r="E91" s="96"/>
      <c r="F91" s="96"/>
      <c r="G91" s="96"/>
      <c r="H91" s="96"/>
      <c r="I91" s="96"/>
      <c r="J91" s="96"/>
      <c r="K91" s="96"/>
      <c r="L91" s="96"/>
      <c r="M91" s="96"/>
      <c r="N91" s="127"/>
    </row>
    <row r="92" spans="1:14" ht="12.75" customHeight="1">
      <c r="A92" s="99" t="s">
        <v>537</v>
      </c>
      <c r="B92" s="93"/>
      <c r="C92" s="96"/>
      <c r="D92" s="96"/>
      <c r="E92" s="96"/>
      <c r="F92" s="96"/>
      <c r="G92" s="96"/>
      <c r="H92" s="96"/>
      <c r="I92" s="96"/>
      <c r="J92" s="96"/>
      <c r="K92" s="96"/>
      <c r="L92" s="96"/>
      <c r="M92" s="96"/>
      <c r="N92" s="127"/>
    </row>
    <row r="93" spans="1:14" ht="12.75" customHeight="1">
      <c r="A93" s="1318" t="s">
        <v>1104</v>
      </c>
      <c r="B93" s="1318"/>
      <c r="C93" s="1318"/>
      <c r="D93" s="1318"/>
      <c r="E93" s="1318"/>
      <c r="F93" s="1318"/>
      <c r="G93" s="1318"/>
      <c r="H93" s="1318"/>
      <c r="I93" s="1318"/>
      <c r="J93" s="1318"/>
      <c r="K93" s="1318"/>
      <c r="L93" s="1318"/>
      <c r="M93" s="1318"/>
      <c r="N93" s="127"/>
    </row>
    <row r="94" spans="1:14" ht="12.75" customHeight="1">
      <c r="A94" s="1318" t="s">
        <v>1110</v>
      </c>
      <c r="B94" s="1318"/>
      <c r="C94" s="1318"/>
      <c r="D94" s="1318"/>
      <c r="E94" s="1318"/>
      <c r="F94" s="1318"/>
      <c r="G94" s="1318"/>
      <c r="H94" s="1318"/>
      <c r="I94" s="1318"/>
      <c r="J94" s="1318"/>
      <c r="K94" s="98"/>
      <c r="L94" s="98"/>
      <c r="M94" s="98"/>
      <c r="N94" s="127"/>
    </row>
    <row r="95" spans="1:14" ht="12.75" customHeight="1">
      <c r="A95" s="1318" t="s">
        <v>1111</v>
      </c>
      <c r="B95" s="1318"/>
      <c r="C95" s="1318"/>
      <c r="D95" s="1318"/>
      <c r="E95" s="1318"/>
      <c r="F95" s="1318"/>
      <c r="G95" s="1318"/>
      <c r="H95" s="1318"/>
      <c r="I95" s="1318"/>
      <c r="J95" s="1318"/>
      <c r="K95" s="98"/>
      <c r="L95" s="98"/>
      <c r="M95" s="98"/>
      <c r="N95" s="127"/>
    </row>
    <row r="96" spans="1:14" ht="12.75" customHeight="1">
      <c r="A96" s="1318" t="s">
        <v>1159</v>
      </c>
      <c r="B96" s="1318"/>
      <c r="C96" s="1318"/>
      <c r="D96" s="1318"/>
      <c r="E96" s="1318"/>
      <c r="F96" s="1318"/>
      <c r="G96" s="1318"/>
      <c r="H96" s="1318"/>
      <c r="I96" s="1318"/>
      <c r="J96" s="1318"/>
      <c r="K96" s="1318"/>
      <c r="L96" s="1318"/>
      <c r="M96" s="1318"/>
      <c r="N96" s="127"/>
    </row>
    <row r="97" spans="1:14" ht="12.75" customHeight="1">
      <c r="A97" s="99" t="s">
        <v>1160</v>
      </c>
      <c r="B97" s="93"/>
      <c r="C97" s="96"/>
      <c r="D97" s="96"/>
      <c r="E97" s="96"/>
      <c r="F97" s="96"/>
      <c r="G97" s="96"/>
      <c r="H97" s="96"/>
      <c r="I97" s="96"/>
      <c r="J97" s="96"/>
      <c r="K97" s="96"/>
      <c r="L97" s="96"/>
      <c r="M97" s="96"/>
      <c r="N97" s="127"/>
    </row>
    <row r="98" spans="1:14" ht="12.75" customHeight="1">
      <c r="A98" s="1318" t="s">
        <v>1161</v>
      </c>
      <c r="B98" s="1318"/>
      <c r="C98" s="1318"/>
      <c r="D98" s="1318"/>
      <c r="E98" s="1318"/>
      <c r="F98" s="1318"/>
      <c r="G98" s="1318"/>
      <c r="H98" s="1318"/>
      <c r="I98" s="1318"/>
      <c r="J98" s="1318"/>
      <c r="K98" s="1318"/>
      <c r="L98" s="1318"/>
      <c r="M98" s="1318"/>
      <c r="N98" s="127"/>
    </row>
    <row r="99" spans="1:14" ht="12.75" customHeight="1">
      <c r="A99" s="99" t="s">
        <v>1162</v>
      </c>
      <c r="B99" s="93"/>
      <c r="C99" s="96"/>
      <c r="D99" s="96"/>
      <c r="E99" s="96"/>
      <c r="F99" s="96"/>
      <c r="G99" s="96"/>
      <c r="H99" s="96"/>
      <c r="I99" s="96"/>
      <c r="J99" s="96"/>
      <c r="K99" s="96"/>
      <c r="L99" s="96"/>
      <c r="M99" s="96"/>
      <c r="N99" s="127"/>
    </row>
    <row r="100" spans="1:14" ht="12.75" customHeight="1">
      <c r="A100" s="1318" t="s">
        <v>1163</v>
      </c>
      <c r="B100" s="1318"/>
      <c r="C100" s="1318"/>
      <c r="D100" s="1318"/>
      <c r="E100" s="1318"/>
      <c r="F100" s="1318"/>
      <c r="G100" s="1318"/>
      <c r="H100" s="1318"/>
      <c r="I100" s="1318"/>
      <c r="J100" s="1318"/>
      <c r="K100" s="1318"/>
      <c r="L100" s="1318"/>
      <c r="M100" s="1318"/>
      <c r="N100" s="127"/>
    </row>
    <row r="101" spans="1:14" ht="12.75" customHeight="1">
      <c r="A101" s="856" t="s">
        <v>1454</v>
      </c>
      <c r="B101" s="160"/>
      <c r="C101" s="160"/>
      <c r="D101" s="160"/>
      <c r="E101" s="160"/>
      <c r="F101" s="160"/>
      <c r="G101" s="160"/>
      <c r="H101" s="160"/>
      <c r="I101" s="160"/>
      <c r="J101" s="160"/>
      <c r="K101" s="160"/>
      <c r="L101" s="160"/>
      <c r="M101" s="160"/>
      <c r="N101" s="127"/>
    </row>
    <row r="102" spans="1:14" ht="12.75" customHeight="1">
      <c r="A102" s="856" t="s">
        <v>1451</v>
      </c>
      <c r="B102" s="160"/>
      <c r="C102" s="160"/>
      <c r="D102" s="160"/>
      <c r="E102" s="160"/>
      <c r="F102" s="160"/>
      <c r="G102" s="160"/>
      <c r="H102" s="160"/>
      <c r="I102" s="160"/>
      <c r="J102" s="160"/>
      <c r="K102" s="160"/>
      <c r="L102" s="160"/>
      <c r="M102" s="160"/>
      <c r="N102" s="127"/>
    </row>
    <row r="103" spans="1:14" ht="12.75" customHeight="1">
      <c r="A103" s="856" t="s">
        <v>1452</v>
      </c>
      <c r="B103" s="160"/>
      <c r="C103" s="160"/>
      <c r="D103" s="160"/>
      <c r="E103" s="160"/>
      <c r="F103" s="160"/>
      <c r="G103" s="160"/>
      <c r="H103" s="160"/>
      <c r="I103" s="160"/>
      <c r="J103" s="160"/>
      <c r="K103" s="160"/>
      <c r="L103" s="160"/>
      <c r="M103" s="160"/>
      <c r="N103" s="127"/>
    </row>
    <row r="104" spans="1:14" ht="12.75" customHeight="1">
      <c r="A104" s="856" t="s">
        <v>1456</v>
      </c>
      <c r="B104" s="160"/>
      <c r="C104" s="160"/>
      <c r="D104" s="160"/>
      <c r="E104" s="160"/>
      <c r="F104" s="160"/>
      <c r="G104" s="160"/>
      <c r="H104" s="160"/>
      <c r="I104" s="160"/>
      <c r="J104" s="160"/>
      <c r="K104" s="160"/>
      <c r="L104" s="160"/>
      <c r="M104" s="160"/>
      <c r="N104" s="127"/>
    </row>
    <row r="105" spans="1:14" ht="11.25" customHeight="1">
      <c r="A105" s="961"/>
      <c r="B105" s="120"/>
      <c r="C105" s="53"/>
      <c r="D105" s="53"/>
      <c r="E105" s="53"/>
      <c r="F105" s="53"/>
      <c r="G105" s="53"/>
      <c r="H105" s="53"/>
      <c r="I105" s="53"/>
      <c r="J105" s="53"/>
      <c r="K105" s="53"/>
      <c r="L105" s="53"/>
      <c r="M105" s="53"/>
      <c r="N105" s="127"/>
    </row>
    <row r="106" spans="1:14" ht="11.25" customHeight="1">
      <c r="A106" s="48"/>
      <c r="B106" s="120"/>
      <c r="C106" s="53"/>
      <c r="D106" s="53"/>
      <c r="E106" s="53"/>
      <c r="F106" s="53"/>
      <c r="G106" s="53"/>
      <c r="H106" s="53"/>
      <c r="I106" s="53"/>
      <c r="J106" s="53"/>
      <c r="K106" s="53"/>
      <c r="L106" s="53"/>
      <c r="M106" s="53"/>
      <c r="N106" s="127"/>
    </row>
    <row r="107" spans="1:14" ht="11.25" customHeight="1">
      <c r="A107" s="121" t="s">
        <v>726</v>
      </c>
      <c r="B107" s="159"/>
      <c r="C107" s="813">
        <f>C79-'B5-Capex'!C65</f>
        <v>-13300000</v>
      </c>
      <c r="D107" s="813"/>
      <c r="E107" s="813"/>
      <c r="F107" s="813"/>
      <c r="G107" s="813"/>
      <c r="H107" s="813"/>
      <c r="I107" s="813"/>
      <c r="J107" s="813"/>
      <c r="K107" s="813"/>
      <c r="L107" s="813"/>
      <c r="M107" s="813">
        <f>M79-'B5-Capex'!M65</f>
        <v>-14635333</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2:A4"/>
    <mergeCell ref="A98:M98"/>
    <mergeCell ref="A100:M100"/>
    <mergeCell ref="A93:M93"/>
    <mergeCell ref="A94:J94"/>
    <mergeCell ref="A95:J95"/>
    <mergeCell ref="A96:M96"/>
    <mergeCell ref="C2:K2"/>
    <mergeCell ref="B2:B4"/>
  </mergeCells>
  <phoneticPr fontId="17"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Sheet7" enableFormatConditionsCalculation="0">
    <tabColor indexed="42"/>
  </sheetPr>
  <dimension ref="A1:N142"/>
  <sheetViews>
    <sheetView showGridLines="0" topLeftCell="A73" workbookViewId="0">
      <selection activeCell="I15" sqref="I15"/>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"&amp;ADJB18b&amp;" - "&amp;Date</f>
        <v>LIM333 Greater Tzaneen - Supporting Table SB18b Consolidated Adjustments Budget - capital expenditure on renewal of existing assets by asset class - 26 FEBRUARY 2014</v>
      </c>
      <c r="B1" s="5"/>
      <c r="C1" s="58"/>
    </row>
    <row r="2" spans="1:14" ht="25.5">
      <c r="A2" s="1322" t="str">
        <f>desc</f>
        <v>Description</v>
      </c>
      <c r="B2" s="1322" t="str">
        <f>head27</f>
        <v>Ref</v>
      </c>
      <c r="C2" s="1319" t="str">
        <f>Head2</f>
        <v>Budget Year 2013/14</v>
      </c>
      <c r="D2" s="1320"/>
      <c r="E2" s="1320"/>
      <c r="F2" s="1320"/>
      <c r="G2" s="1320"/>
      <c r="H2" s="1320"/>
      <c r="I2" s="1320"/>
      <c r="J2" s="1320"/>
      <c r="K2" s="1321"/>
      <c r="L2" s="169" t="str">
        <f>Head10</f>
        <v>Budget Year +1 2014/15</v>
      </c>
      <c r="M2" s="170"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3" t="s">
        <v>1357</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9">
        <f t="shared" ref="C8:M8" si="0">C9+C12+C16+C20+C23</f>
        <v>13300000</v>
      </c>
      <c r="D8" s="719">
        <f t="shared" si="0"/>
        <v>0</v>
      </c>
      <c r="E8" s="719">
        <f t="shared" si="0"/>
        <v>0</v>
      </c>
      <c r="F8" s="719">
        <f t="shared" si="0"/>
        <v>0</v>
      </c>
      <c r="G8" s="719">
        <f t="shared" si="0"/>
        <v>0</v>
      </c>
      <c r="H8" s="719">
        <f t="shared" si="0"/>
        <v>0</v>
      </c>
      <c r="I8" s="719">
        <f t="shared" si="0"/>
        <v>-8276140</v>
      </c>
      <c r="J8" s="720">
        <f>SUM(E8:I8)</f>
        <v>-8276140</v>
      </c>
      <c r="K8" s="720">
        <f>IF(D8=0,C8+J8,D8+J8)</f>
        <v>5023860</v>
      </c>
      <c r="L8" s="719">
        <f t="shared" si="0"/>
        <v>13951700</v>
      </c>
      <c r="M8" s="721">
        <f t="shared" si="0"/>
        <v>14635334</v>
      </c>
      <c r="N8" s="873"/>
    </row>
    <row r="9" spans="1:14" ht="12.75" customHeight="1">
      <c r="A9" s="609" t="s">
        <v>487</v>
      </c>
      <c r="B9" s="73"/>
      <c r="C9" s="265">
        <f t="shared" ref="C9:M9" si="1">SUM(C10:C11)</f>
        <v>9500000</v>
      </c>
      <c r="D9" s="265">
        <f t="shared" si="1"/>
        <v>0</v>
      </c>
      <c r="E9" s="265">
        <f t="shared" si="1"/>
        <v>0</v>
      </c>
      <c r="F9" s="265">
        <f t="shared" si="1"/>
        <v>0</v>
      </c>
      <c r="G9" s="265">
        <f t="shared" si="1"/>
        <v>0</v>
      </c>
      <c r="H9" s="265">
        <f t="shared" si="1"/>
        <v>0</v>
      </c>
      <c r="I9" s="265">
        <f t="shared" si="1"/>
        <v>-7976140</v>
      </c>
      <c r="J9" s="75">
        <f t="shared" ref="J9:J28" si="2">SUM(E9:I9)</f>
        <v>-7976140</v>
      </c>
      <c r="K9" s="75">
        <f t="shared" ref="K9:K28" si="3">IF(D9=0,C9+J9,D9+J9)</f>
        <v>1523860</v>
      </c>
      <c r="L9" s="265">
        <f t="shared" si="1"/>
        <v>9965500</v>
      </c>
      <c r="M9" s="266">
        <f t="shared" si="1"/>
        <v>10453810</v>
      </c>
      <c r="N9" s="127"/>
    </row>
    <row r="10" spans="1:14" ht="12.75" customHeight="1">
      <c r="A10" s="610" t="s">
        <v>488</v>
      </c>
      <c r="B10" s="73"/>
      <c r="C10" s="109">
        <v>9500000</v>
      </c>
      <c r="D10" s="109"/>
      <c r="E10" s="109"/>
      <c r="F10" s="109"/>
      <c r="G10" s="109"/>
      <c r="H10" s="109"/>
      <c r="I10" s="109">
        <f>-976140-7000000</f>
        <v>-7976140</v>
      </c>
      <c r="J10" s="75">
        <f t="shared" si="2"/>
        <v>-7976140</v>
      </c>
      <c r="K10" s="75">
        <f t="shared" si="3"/>
        <v>1523860</v>
      </c>
      <c r="L10" s="109">
        <v>9965500</v>
      </c>
      <c r="M10" s="109">
        <v>10453810</v>
      </c>
      <c r="N10" s="873"/>
    </row>
    <row r="11" spans="1:14" ht="12.75" customHeight="1">
      <c r="A11" s="610" t="s">
        <v>489</v>
      </c>
      <c r="B11" s="73"/>
      <c r="C11" s="109"/>
      <c r="D11" s="109"/>
      <c r="E11" s="109"/>
      <c r="F11" s="109"/>
      <c r="G11" s="109"/>
      <c r="H11" s="109"/>
      <c r="I11" s="109"/>
      <c r="J11" s="75">
        <f t="shared" si="2"/>
        <v>0</v>
      </c>
      <c r="K11" s="75">
        <f t="shared" si="3"/>
        <v>0</v>
      </c>
      <c r="L11" s="109"/>
      <c r="M11" s="110"/>
      <c r="N11" s="878"/>
    </row>
    <row r="12" spans="1:14" ht="12.75" customHeight="1">
      <c r="A12" s="609" t="s">
        <v>490</v>
      </c>
      <c r="B12" s="73"/>
      <c r="C12" s="131">
        <f t="shared" ref="C12:M12" si="4">SUM(C13:C15)</f>
        <v>3800000</v>
      </c>
      <c r="D12" s="131">
        <f t="shared" si="4"/>
        <v>0</v>
      </c>
      <c r="E12" s="131">
        <f t="shared" si="4"/>
        <v>0</v>
      </c>
      <c r="F12" s="131">
        <f t="shared" si="4"/>
        <v>0</v>
      </c>
      <c r="G12" s="131">
        <f t="shared" si="4"/>
        <v>0</v>
      </c>
      <c r="H12" s="131">
        <f t="shared" si="4"/>
        <v>0</v>
      </c>
      <c r="I12" s="131">
        <f t="shared" si="4"/>
        <v>-300000</v>
      </c>
      <c r="J12" s="75">
        <f t="shared" si="2"/>
        <v>-300000</v>
      </c>
      <c r="K12" s="75">
        <f t="shared" si="3"/>
        <v>3500000</v>
      </c>
      <c r="L12" s="131">
        <f t="shared" si="4"/>
        <v>3986200</v>
      </c>
      <c r="M12" s="132">
        <f t="shared" si="4"/>
        <v>4181524</v>
      </c>
      <c r="N12" s="878"/>
    </row>
    <row r="13" spans="1:14" ht="12.75" customHeight="1">
      <c r="A13" s="610" t="s">
        <v>491</v>
      </c>
      <c r="B13" s="73"/>
      <c r="C13" s="109"/>
      <c r="D13" s="109"/>
      <c r="E13" s="109"/>
      <c r="F13" s="109"/>
      <c r="G13" s="109"/>
      <c r="H13" s="109"/>
      <c r="I13" s="109"/>
      <c r="J13" s="75">
        <f t="shared" si="2"/>
        <v>0</v>
      </c>
      <c r="K13" s="75">
        <f t="shared" si="3"/>
        <v>0</v>
      </c>
      <c r="L13" s="109"/>
      <c r="M13" s="110"/>
      <c r="N13" s="878"/>
    </row>
    <row r="14" spans="1:14" ht="12.75" customHeight="1">
      <c r="A14" s="610" t="s">
        <v>492</v>
      </c>
      <c r="B14" s="73"/>
      <c r="C14" s="109">
        <v>3800000</v>
      </c>
      <c r="D14" s="109"/>
      <c r="E14" s="109"/>
      <c r="F14" s="109"/>
      <c r="G14" s="109"/>
      <c r="H14" s="109"/>
      <c r="I14" s="109">
        <v>-300000</v>
      </c>
      <c r="J14" s="75">
        <f t="shared" si="2"/>
        <v>-300000</v>
      </c>
      <c r="K14" s="75">
        <f t="shared" si="3"/>
        <v>3500000</v>
      </c>
      <c r="L14" s="109">
        <v>3986200</v>
      </c>
      <c r="M14" s="109">
        <v>4181524</v>
      </c>
      <c r="N14" s="878"/>
    </row>
    <row r="15" spans="1:14" ht="12.75" customHeight="1">
      <c r="A15" s="610" t="s">
        <v>493</v>
      </c>
      <c r="B15" s="73"/>
      <c r="C15" s="109"/>
      <c r="D15" s="109"/>
      <c r="E15" s="109"/>
      <c r="F15" s="109"/>
      <c r="G15" s="109"/>
      <c r="H15" s="109"/>
      <c r="I15" s="109"/>
      <c r="J15" s="75">
        <f t="shared" si="2"/>
        <v>0</v>
      </c>
      <c r="K15" s="75">
        <f t="shared" si="3"/>
        <v>0</v>
      </c>
      <c r="L15" s="109"/>
      <c r="M15" s="110"/>
      <c r="N15" s="878"/>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8"/>
    </row>
    <row r="17" spans="1:14" ht="12.75" customHeight="1">
      <c r="A17" s="610" t="s">
        <v>495</v>
      </c>
      <c r="B17" s="73"/>
      <c r="C17" s="109"/>
      <c r="D17" s="109"/>
      <c r="E17" s="109"/>
      <c r="F17" s="109"/>
      <c r="G17" s="109"/>
      <c r="H17" s="109"/>
      <c r="I17" s="109"/>
      <c r="J17" s="75">
        <f t="shared" si="2"/>
        <v>0</v>
      </c>
      <c r="K17" s="75">
        <f t="shared" si="3"/>
        <v>0</v>
      </c>
      <c r="L17" s="109"/>
      <c r="M17" s="110"/>
      <c r="N17" s="878"/>
    </row>
    <row r="18" spans="1:14" ht="12.75" customHeight="1">
      <c r="A18" s="610" t="s">
        <v>496</v>
      </c>
      <c r="B18" s="73"/>
      <c r="C18" s="109"/>
      <c r="D18" s="109"/>
      <c r="E18" s="109"/>
      <c r="F18" s="109"/>
      <c r="G18" s="109"/>
      <c r="H18" s="109"/>
      <c r="I18" s="109"/>
      <c r="J18" s="75">
        <f t="shared" si="2"/>
        <v>0</v>
      </c>
      <c r="K18" s="75">
        <f t="shared" si="3"/>
        <v>0</v>
      </c>
      <c r="L18" s="109"/>
      <c r="M18" s="110"/>
      <c r="N18" s="878"/>
    </row>
    <row r="19" spans="1:14" ht="12.75" customHeight="1">
      <c r="A19" s="610" t="s">
        <v>497</v>
      </c>
      <c r="B19" s="73"/>
      <c r="C19" s="109"/>
      <c r="D19" s="109"/>
      <c r="E19" s="109"/>
      <c r="F19" s="109"/>
      <c r="G19" s="109"/>
      <c r="H19" s="109"/>
      <c r="I19" s="109"/>
      <c r="J19" s="75">
        <f t="shared" si="2"/>
        <v>0</v>
      </c>
      <c r="K19" s="75">
        <f>IF(D19=0,C19+J19,D19+J19)</f>
        <v>0</v>
      </c>
      <c r="L19" s="109"/>
      <c r="M19" s="110"/>
      <c r="N19" s="878"/>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8"/>
    </row>
    <row r="21" spans="1:14" ht="12.75" customHeight="1">
      <c r="A21" s="610" t="s">
        <v>497</v>
      </c>
      <c r="B21" s="73"/>
      <c r="C21" s="109"/>
      <c r="D21" s="109"/>
      <c r="E21" s="109"/>
      <c r="F21" s="109"/>
      <c r="G21" s="109"/>
      <c r="H21" s="109"/>
      <c r="I21" s="109"/>
      <c r="J21" s="75">
        <f t="shared" si="2"/>
        <v>0</v>
      </c>
      <c r="K21" s="75">
        <f t="shared" si="3"/>
        <v>0</v>
      </c>
      <c r="L21" s="109"/>
      <c r="M21" s="110"/>
      <c r="N21" s="878"/>
    </row>
    <row r="22" spans="1:14" ht="12.75" customHeight="1">
      <c r="A22" s="610" t="s">
        <v>499</v>
      </c>
      <c r="B22" s="73"/>
      <c r="C22" s="109"/>
      <c r="D22" s="109"/>
      <c r="E22" s="109"/>
      <c r="F22" s="109"/>
      <c r="G22" s="109"/>
      <c r="H22" s="109"/>
      <c r="I22" s="109"/>
      <c r="J22" s="75">
        <f t="shared" si="2"/>
        <v>0</v>
      </c>
      <c r="K22" s="75">
        <f t="shared" si="3"/>
        <v>0</v>
      </c>
      <c r="L22" s="109"/>
      <c r="M22" s="110"/>
      <c r="N22" s="878"/>
    </row>
    <row r="23" spans="1:14" ht="12.75" customHeight="1">
      <c r="A23" s="609" t="s">
        <v>500</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78"/>
    </row>
    <row r="24" spans="1:14" ht="12.75" customHeight="1">
      <c r="A24" s="612" t="s">
        <v>1240</v>
      </c>
      <c r="B24" s="73"/>
      <c r="C24" s="109"/>
      <c r="D24" s="109"/>
      <c r="E24" s="109"/>
      <c r="F24" s="109"/>
      <c r="G24" s="109"/>
      <c r="H24" s="109"/>
      <c r="I24" s="109"/>
      <c r="J24" s="75">
        <f t="shared" si="2"/>
        <v>0</v>
      </c>
      <c r="K24" s="75">
        <f t="shared" si="3"/>
        <v>0</v>
      </c>
      <c r="L24" s="109"/>
      <c r="M24" s="110"/>
      <c r="N24" s="878"/>
    </row>
    <row r="25" spans="1:14" ht="12.75" customHeight="1">
      <c r="A25" s="612" t="s">
        <v>501</v>
      </c>
      <c r="B25" s="73">
        <v>2</v>
      </c>
      <c r="C25" s="109"/>
      <c r="D25" s="109"/>
      <c r="E25" s="109"/>
      <c r="F25" s="109"/>
      <c r="G25" s="109"/>
      <c r="H25" s="109"/>
      <c r="I25" s="109"/>
      <c r="J25" s="75">
        <f t="shared" si="2"/>
        <v>0</v>
      </c>
      <c r="K25" s="75">
        <f t="shared" si="3"/>
        <v>0</v>
      </c>
      <c r="L25" s="109"/>
      <c r="M25" s="110"/>
      <c r="N25" s="878"/>
    </row>
    <row r="26" spans="1:14" ht="12.75" customHeight="1">
      <c r="A26" s="612" t="s">
        <v>502</v>
      </c>
      <c r="B26" s="73"/>
      <c r="C26" s="109"/>
      <c r="D26" s="109"/>
      <c r="E26" s="109"/>
      <c r="F26" s="109"/>
      <c r="G26" s="109"/>
      <c r="H26" s="109"/>
      <c r="I26" s="109"/>
      <c r="J26" s="75">
        <f t="shared" si="2"/>
        <v>0</v>
      </c>
      <c r="K26" s="75">
        <f t="shared" si="3"/>
        <v>0</v>
      </c>
      <c r="L26" s="109"/>
      <c r="M26" s="110"/>
      <c r="N26" s="878"/>
    </row>
    <row r="27" spans="1:14" ht="12.75" customHeight="1">
      <c r="A27" s="612" t="s">
        <v>673</v>
      </c>
      <c r="B27" s="73">
        <v>3</v>
      </c>
      <c r="C27" s="109"/>
      <c r="D27" s="109"/>
      <c r="E27" s="109"/>
      <c r="F27" s="109"/>
      <c r="G27" s="109"/>
      <c r="H27" s="109"/>
      <c r="I27" s="109"/>
      <c r="J27" s="75">
        <f t="shared" si="2"/>
        <v>0</v>
      </c>
      <c r="K27" s="75">
        <f t="shared" si="3"/>
        <v>0</v>
      </c>
      <c r="L27" s="109"/>
      <c r="M27" s="110"/>
      <c r="N27" s="878"/>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0</v>
      </c>
      <c r="D29" s="140">
        <f t="shared" si="8"/>
        <v>0</v>
      </c>
      <c r="E29" s="140">
        <f t="shared" si="8"/>
        <v>0</v>
      </c>
      <c r="F29" s="140">
        <f t="shared" si="8"/>
        <v>0</v>
      </c>
      <c r="G29" s="140">
        <f t="shared" si="8"/>
        <v>0</v>
      </c>
      <c r="H29" s="140">
        <f t="shared" si="8"/>
        <v>0</v>
      </c>
      <c r="I29" s="140">
        <f t="shared" si="8"/>
        <v>0</v>
      </c>
      <c r="J29" s="75">
        <f>SUM(E29:I29)</f>
        <v>0</v>
      </c>
      <c r="K29" s="75">
        <f>IF(D29=0,C29+J29,D29+J29)</f>
        <v>0</v>
      </c>
      <c r="L29" s="140">
        <f t="shared" si="8"/>
        <v>0</v>
      </c>
      <c r="M29" s="141">
        <f t="shared" si="8"/>
        <v>0</v>
      </c>
      <c r="N29" s="127"/>
    </row>
    <row r="30" spans="1:14" ht="12.75" customHeight="1">
      <c r="A30" s="128" t="s">
        <v>503</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c r="A31" s="128" t="s">
        <v>504</v>
      </c>
      <c r="B31" s="73"/>
      <c r="C31" s="129"/>
      <c r="D31" s="109"/>
      <c r="E31" s="109"/>
      <c r="F31" s="109"/>
      <c r="G31" s="109"/>
      <c r="H31" s="109"/>
      <c r="I31" s="109"/>
      <c r="J31" s="75">
        <f t="shared" si="9"/>
        <v>0</v>
      </c>
      <c r="K31" s="75">
        <f t="shared" si="10"/>
        <v>0</v>
      </c>
      <c r="L31" s="109"/>
      <c r="M31" s="110"/>
      <c r="N31" s="127"/>
    </row>
    <row r="32" spans="1:14" ht="12.75" customHeight="1">
      <c r="A32" s="128" t="s">
        <v>505</v>
      </c>
      <c r="B32" s="73"/>
      <c r="C32" s="129"/>
      <c r="D32" s="109"/>
      <c r="E32" s="109"/>
      <c r="F32" s="109"/>
      <c r="G32" s="109"/>
      <c r="H32" s="109"/>
      <c r="I32" s="109"/>
      <c r="J32" s="75">
        <f t="shared" si="9"/>
        <v>0</v>
      </c>
      <c r="K32" s="75">
        <f t="shared" si="10"/>
        <v>0</v>
      </c>
      <c r="L32" s="109"/>
      <c r="M32" s="110"/>
      <c r="N32" s="127"/>
    </row>
    <row r="33" spans="1:14" ht="12.75" customHeight="1">
      <c r="A33" s="128" t="s">
        <v>506</v>
      </c>
      <c r="B33" s="73"/>
      <c r="C33" s="129"/>
      <c r="D33" s="109"/>
      <c r="E33" s="109"/>
      <c r="F33" s="109"/>
      <c r="G33" s="109"/>
      <c r="H33" s="109"/>
      <c r="I33" s="109"/>
      <c r="J33" s="75">
        <f t="shared" si="9"/>
        <v>0</v>
      </c>
      <c r="K33" s="75">
        <f t="shared" si="10"/>
        <v>0</v>
      </c>
      <c r="L33" s="109"/>
      <c r="M33" s="110"/>
      <c r="N33" s="127"/>
    </row>
    <row r="34" spans="1:14" ht="12.75" customHeight="1">
      <c r="A34" s="128" t="s">
        <v>507</v>
      </c>
      <c r="B34" s="73"/>
      <c r="C34" s="129"/>
      <c r="D34" s="109"/>
      <c r="E34" s="109"/>
      <c r="F34" s="109"/>
      <c r="G34" s="109"/>
      <c r="H34" s="109"/>
      <c r="I34" s="109"/>
      <c r="J34" s="75">
        <f t="shared" si="9"/>
        <v>0</v>
      </c>
      <c r="K34" s="75">
        <f t="shared" si="10"/>
        <v>0</v>
      </c>
      <c r="L34" s="109"/>
      <c r="M34" s="110"/>
      <c r="N34" s="127"/>
    </row>
    <row r="35" spans="1:14" ht="12.75" customHeight="1">
      <c r="A35" s="128" t="s">
        <v>508</v>
      </c>
      <c r="B35" s="73"/>
      <c r="C35" s="129"/>
      <c r="D35" s="109"/>
      <c r="E35" s="109"/>
      <c r="F35" s="109"/>
      <c r="G35" s="109"/>
      <c r="H35" s="109"/>
      <c r="I35" s="109"/>
      <c r="J35" s="75">
        <f t="shared" si="9"/>
        <v>0</v>
      </c>
      <c r="K35" s="75">
        <f t="shared" si="10"/>
        <v>0</v>
      </c>
      <c r="L35" s="109"/>
      <c r="M35" s="110"/>
      <c r="N35" s="127"/>
    </row>
    <row r="36" spans="1:14" ht="12.75" customHeight="1">
      <c r="A36" s="128" t="s">
        <v>509</v>
      </c>
      <c r="B36" s="73"/>
      <c r="C36" s="129"/>
      <c r="D36" s="109"/>
      <c r="E36" s="109"/>
      <c r="F36" s="109"/>
      <c r="G36" s="109"/>
      <c r="H36" s="109"/>
      <c r="I36" s="109"/>
      <c r="J36" s="75">
        <f t="shared" si="9"/>
        <v>0</v>
      </c>
      <c r="K36" s="75">
        <f t="shared" si="10"/>
        <v>0</v>
      </c>
      <c r="L36" s="109"/>
      <c r="M36" s="110"/>
      <c r="N36" s="127"/>
    </row>
    <row r="37" spans="1:14" ht="12.75" customHeight="1">
      <c r="A37" s="128" t="s">
        <v>510</v>
      </c>
      <c r="B37" s="73"/>
      <c r="C37" s="129"/>
      <c r="D37" s="109"/>
      <c r="E37" s="109"/>
      <c r="F37" s="109"/>
      <c r="G37" s="109"/>
      <c r="H37" s="109"/>
      <c r="I37" s="109"/>
      <c r="J37" s="75">
        <f t="shared" si="9"/>
        <v>0</v>
      </c>
      <c r="K37" s="75">
        <f t="shared" si="10"/>
        <v>0</v>
      </c>
      <c r="L37" s="109"/>
      <c r="M37" s="110"/>
      <c r="N37" s="127"/>
    </row>
    <row r="38" spans="1:14" ht="12.75" customHeight="1">
      <c r="A38" s="128" t="s">
        <v>511</v>
      </c>
      <c r="B38" s="73"/>
      <c r="C38" s="129"/>
      <c r="D38" s="109"/>
      <c r="E38" s="109"/>
      <c r="F38" s="109"/>
      <c r="G38" s="109"/>
      <c r="H38" s="109"/>
      <c r="I38" s="109"/>
      <c r="J38" s="75">
        <f t="shared" si="9"/>
        <v>0</v>
      </c>
      <c r="K38" s="75">
        <f t="shared" si="10"/>
        <v>0</v>
      </c>
      <c r="L38" s="109"/>
      <c r="M38" s="110"/>
      <c r="N38" s="127"/>
    </row>
    <row r="39" spans="1:14" ht="12.75" customHeight="1">
      <c r="A39" s="128" t="s">
        <v>512</v>
      </c>
      <c r="B39" s="73"/>
      <c r="C39" s="129"/>
      <c r="D39" s="109"/>
      <c r="E39" s="109"/>
      <c r="F39" s="109"/>
      <c r="G39" s="109"/>
      <c r="H39" s="109"/>
      <c r="I39" s="109"/>
      <c r="J39" s="75">
        <f t="shared" si="9"/>
        <v>0</v>
      </c>
      <c r="K39" s="75">
        <f t="shared" si="10"/>
        <v>0</v>
      </c>
      <c r="L39" s="109"/>
      <c r="M39" s="110"/>
      <c r="N39" s="127"/>
    </row>
    <row r="40" spans="1:14" ht="12.75" customHeight="1">
      <c r="A40" s="128" t="s">
        <v>513</v>
      </c>
      <c r="B40" s="73"/>
      <c r="C40" s="129"/>
      <c r="D40" s="109"/>
      <c r="E40" s="109"/>
      <c r="F40" s="109"/>
      <c r="G40" s="109"/>
      <c r="H40" s="109"/>
      <c r="I40" s="109"/>
      <c r="J40" s="75">
        <f t="shared" si="9"/>
        <v>0</v>
      </c>
      <c r="K40" s="75">
        <f t="shared" si="10"/>
        <v>0</v>
      </c>
      <c r="L40" s="109"/>
      <c r="M40" s="110"/>
      <c r="N40" s="127"/>
    </row>
    <row r="41" spans="1:14" ht="12.75" customHeight="1">
      <c r="A41" s="128" t="s">
        <v>514</v>
      </c>
      <c r="B41" s="73"/>
      <c r="C41" s="129"/>
      <c r="D41" s="109"/>
      <c r="E41" s="109"/>
      <c r="F41" s="109"/>
      <c r="G41" s="109"/>
      <c r="H41" s="109"/>
      <c r="I41" s="109"/>
      <c r="J41" s="75">
        <f t="shared" si="9"/>
        <v>0</v>
      </c>
      <c r="K41" s="75">
        <f t="shared" si="10"/>
        <v>0</v>
      </c>
      <c r="L41" s="109"/>
      <c r="M41" s="110"/>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c r="J43" s="75">
        <f>SUM(E43:I43)</f>
        <v>0</v>
      </c>
      <c r="K43" s="75">
        <f>IF(D43=0,C43+J43,D43+J43)</f>
        <v>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SUM(C46:C47)</f>
        <v>0</v>
      </c>
      <c r="D45" s="140">
        <f t="shared" ref="D45:M45" si="11">SUM(D46:D47)</f>
        <v>0</v>
      </c>
      <c r="E45" s="140">
        <f t="shared" si="11"/>
        <v>0</v>
      </c>
      <c r="F45" s="140">
        <f t="shared" si="11"/>
        <v>0</v>
      </c>
      <c r="G45" s="140">
        <f t="shared" si="11"/>
        <v>0</v>
      </c>
      <c r="H45" s="140">
        <f t="shared" si="11"/>
        <v>0</v>
      </c>
      <c r="I45" s="140">
        <f t="shared" si="11"/>
        <v>0</v>
      </c>
      <c r="J45" s="140">
        <f>SUM(J46:J47)</f>
        <v>0</v>
      </c>
      <c r="K45" s="140">
        <f>SUM(K46:K47)</f>
        <v>0</v>
      </c>
      <c r="L45" s="140">
        <f t="shared" si="11"/>
        <v>0</v>
      </c>
      <c r="M45" s="141">
        <f t="shared" si="11"/>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0</v>
      </c>
      <c r="D49" s="140">
        <f t="shared" si="12"/>
        <v>0</v>
      </c>
      <c r="E49" s="140">
        <f t="shared" si="12"/>
        <v>0</v>
      </c>
      <c r="F49" s="140">
        <f t="shared" si="12"/>
        <v>0</v>
      </c>
      <c r="G49" s="140">
        <f t="shared" si="12"/>
        <v>0</v>
      </c>
      <c r="H49" s="140">
        <f t="shared" si="12"/>
        <v>0</v>
      </c>
      <c r="I49" s="140">
        <f t="shared" si="12"/>
        <v>0</v>
      </c>
      <c r="J49" s="140">
        <f>SUM(J50:J51)</f>
        <v>0</v>
      </c>
      <c r="K49" s="140">
        <f>SUM(K50:K51)</f>
        <v>0</v>
      </c>
      <c r="L49" s="140">
        <f t="shared" si="12"/>
        <v>0</v>
      </c>
      <c r="M49" s="141">
        <f t="shared" si="12"/>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 t="shared" ref="C53:M53" si="13">SUM(C54:C65)</f>
        <v>0</v>
      </c>
      <c r="D53" s="140">
        <f t="shared" si="13"/>
        <v>0</v>
      </c>
      <c r="E53" s="140">
        <f t="shared" si="13"/>
        <v>0</v>
      </c>
      <c r="F53" s="140">
        <f t="shared" si="13"/>
        <v>0</v>
      </c>
      <c r="G53" s="140">
        <f t="shared" si="13"/>
        <v>0</v>
      </c>
      <c r="H53" s="140">
        <f t="shared" si="13"/>
        <v>0</v>
      </c>
      <c r="I53" s="140">
        <f t="shared" si="13"/>
        <v>0</v>
      </c>
      <c r="J53" s="140">
        <f>SUM(J54:J65)</f>
        <v>0</v>
      </c>
      <c r="K53" s="140">
        <f t="shared" si="13"/>
        <v>0</v>
      </c>
      <c r="L53" s="140">
        <f t="shared" si="13"/>
        <v>0</v>
      </c>
      <c r="M53" s="141">
        <f t="shared" si="13"/>
        <v>0</v>
      </c>
      <c r="N53" s="127"/>
    </row>
    <row r="54" spans="1:14" ht="12.75" customHeight="1">
      <c r="A54" s="30" t="s">
        <v>519</v>
      </c>
      <c r="B54" s="73"/>
      <c r="C54" s="129"/>
      <c r="D54" s="109"/>
      <c r="E54" s="109"/>
      <c r="F54" s="109"/>
      <c r="G54" s="109"/>
      <c r="H54" s="109"/>
      <c r="I54" s="109"/>
      <c r="J54" s="75">
        <f>SUM(E54:I54)</f>
        <v>0</v>
      </c>
      <c r="K54" s="75">
        <f>IF(D54=0,C54+J54,D54+J54)</f>
        <v>0</v>
      </c>
      <c r="L54" s="109"/>
      <c r="M54" s="110"/>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75">
        <f>SUM(E55:I55)</f>
        <v>0</v>
      </c>
      <c r="K55" s="75">
        <f>IF(D55=0,C55+J55,D55+J55)</f>
        <v>0</v>
      </c>
      <c r="L55" s="131">
        <f>L81</f>
        <v>0</v>
      </c>
      <c r="M55" s="132">
        <f>M81</f>
        <v>0</v>
      </c>
      <c r="N55" s="127"/>
    </row>
    <row r="56" spans="1:14" ht="12.75" customHeight="1">
      <c r="A56" s="30" t="s">
        <v>521</v>
      </c>
      <c r="B56" s="136"/>
      <c r="C56" s="129"/>
      <c r="D56" s="109"/>
      <c r="E56" s="109"/>
      <c r="F56" s="109"/>
      <c r="G56" s="109"/>
      <c r="H56" s="109"/>
      <c r="I56" s="109"/>
      <c r="J56" s="75">
        <f t="shared" ref="J56:J65" si="15">SUM(E56:I56)</f>
        <v>0</v>
      </c>
      <c r="K56" s="75">
        <f t="shared" ref="K56:K65" si="16">IF(D56=0,C56+J56,D56+J56)</f>
        <v>0</v>
      </c>
      <c r="L56" s="109"/>
      <c r="M56" s="110"/>
      <c r="N56" s="127"/>
    </row>
    <row r="57" spans="1:14" ht="12.75" customHeight="1">
      <c r="A57" s="30" t="s">
        <v>522</v>
      </c>
      <c r="B57" s="73"/>
      <c r="C57" s="129"/>
      <c r="D57" s="109"/>
      <c r="E57" s="109"/>
      <c r="F57" s="109"/>
      <c r="G57" s="109"/>
      <c r="H57" s="109"/>
      <c r="I57" s="109"/>
      <c r="J57" s="75">
        <f t="shared" si="15"/>
        <v>0</v>
      </c>
      <c r="K57" s="75">
        <f t="shared" si="16"/>
        <v>0</v>
      </c>
      <c r="L57" s="109"/>
      <c r="M57" s="110"/>
      <c r="N57" s="127"/>
    </row>
    <row r="58" spans="1:14" ht="12.75" customHeight="1">
      <c r="A58" s="30" t="s">
        <v>523</v>
      </c>
      <c r="B58" s="73"/>
      <c r="C58" s="129"/>
      <c r="D58" s="109"/>
      <c r="E58" s="109"/>
      <c r="F58" s="109"/>
      <c r="G58" s="109"/>
      <c r="H58" s="109"/>
      <c r="I58" s="109"/>
      <c r="J58" s="75">
        <f t="shared" si="15"/>
        <v>0</v>
      </c>
      <c r="K58" s="75">
        <f t="shared" si="16"/>
        <v>0</v>
      </c>
      <c r="L58" s="109"/>
      <c r="M58" s="110"/>
      <c r="N58" s="127"/>
    </row>
    <row r="59" spans="1:14" ht="12.75" customHeight="1">
      <c r="A59" s="30" t="s">
        <v>524</v>
      </c>
      <c r="B59" s="73"/>
      <c r="C59" s="129"/>
      <c r="D59" s="109"/>
      <c r="E59" s="109"/>
      <c r="F59" s="109"/>
      <c r="G59" s="109"/>
      <c r="H59" s="109"/>
      <c r="I59" s="109"/>
      <c r="J59" s="75">
        <f t="shared" si="15"/>
        <v>0</v>
      </c>
      <c r="K59" s="75">
        <f t="shared" si="16"/>
        <v>0</v>
      </c>
      <c r="L59" s="109"/>
      <c r="M59" s="110"/>
      <c r="N59" s="127"/>
    </row>
    <row r="60" spans="1:14" ht="12.75" customHeight="1">
      <c r="A60" s="30" t="s">
        <v>525</v>
      </c>
      <c r="B60" s="73"/>
      <c r="C60" s="129"/>
      <c r="D60" s="109"/>
      <c r="E60" s="109"/>
      <c r="F60" s="109"/>
      <c r="G60" s="109"/>
      <c r="H60" s="109"/>
      <c r="I60" s="109"/>
      <c r="J60" s="75">
        <f t="shared" si="15"/>
        <v>0</v>
      </c>
      <c r="K60" s="75">
        <f t="shared" si="16"/>
        <v>0</v>
      </c>
      <c r="L60" s="109"/>
      <c r="M60" s="110"/>
      <c r="N60" s="127"/>
    </row>
    <row r="61" spans="1:14" ht="12.75" customHeight="1">
      <c r="A61" s="30" t="s">
        <v>526</v>
      </c>
      <c r="B61" s="73"/>
      <c r="C61" s="129"/>
      <c r="D61" s="109"/>
      <c r="E61" s="109"/>
      <c r="F61" s="109"/>
      <c r="G61" s="109"/>
      <c r="H61" s="109"/>
      <c r="I61" s="109"/>
      <c r="J61" s="75">
        <f t="shared" si="15"/>
        <v>0</v>
      </c>
      <c r="K61" s="75">
        <f t="shared" si="16"/>
        <v>0</v>
      </c>
      <c r="L61" s="109"/>
      <c r="M61" s="110"/>
      <c r="N61" s="127"/>
    </row>
    <row r="62" spans="1:14" ht="12.75" customHeight="1">
      <c r="A62" s="30" t="s">
        <v>527</v>
      </c>
      <c r="B62" s="73"/>
      <c r="C62" s="129"/>
      <c r="D62" s="109"/>
      <c r="E62" s="109"/>
      <c r="F62" s="109"/>
      <c r="G62" s="109"/>
      <c r="H62" s="109"/>
      <c r="I62" s="109"/>
      <c r="J62" s="75">
        <f t="shared" si="15"/>
        <v>0</v>
      </c>
      <c r="K62" s="75">
        <f t="shared" si="16"/>
        <v>0</v>
      </c>
      <c r="L62" s="109"/>
      <c r="M62" s="110"/>
      <c r="N62" s="127"/>
    </row>
    <row r="63" spans="1:14" ht="12.75" customHeight="1">
      <c r="A63" s="30" t="s">
        <v>528</v>
      </c>
      <c r="B63" s="73"/>
      <c r="C63" s="129"/>
      <c r="D63" s="109"/>
      <c r="E63" s="109"/>
      <c r="F63" s="109"/>
      <c r="G63" s="109"/>
      <c r="H63" s="109"/>
      <c r="I63" s="109"/>
      <c r="J63" s="75">
        <f t="shared" si="15"/>
        <v>0</v>
      </c>
      <c r="K63" s="75">
        <f t="shared" si="16"/>
        <v>0</v>
      </c>
      <c r="L63" s="109"/>
      <c r="M63" s="110"/>
      <c r="N63" s="127"/>
    </row>
    <row r="64" spans="1:14" ht="12.75" customHeight="1">
      <c r="A64" s="30" t="s">
        <v>529</v>
      </c>
      <c r="B64" s="73"/>
      <c r="C64" s="129"/>
      <c r="D64" s="109"/>
      <c r="E64" s="109"/>
      <c r="F64" s="109"/>
      <c r="G64" s="109"/>
      <c r="H64" s="109"/>
      <c r="I64" s="109"/>
      <c r="J64" s="75">
        <f t="shared" si="15"/>
        <v>0</v>
      </c>
      <c r="K64" s="75">
        <f t="shared" si="16"/>
        <v>0</v>
      </c>
      <c r="L64" s="109"/>
      <c r="M64" s="110"/>
      <c r="N64" s="127"/>
    </row>
    <row r="65" spans="1:14" ht="12.75" customHeight="1">
      <c r="A65" s="128" t="s">
        <v>673</v>
      </c>
      <c r="B65" s="73"/>
      <c r="C65" s="129"/>
      <c r="D65" s="109"/>
      <c r="E65" s="109"/>
      <c r="F65" s="109"/>
      <c r="G65" s="109"/>
      <c r="H65" s="109"/>
      <c r="I65" s="109"/>
      <c r="J65" s="75">
        <f t="shared" si="15"/>
        <v>0</v>
      </c>
      <c r="K65" s="75">
        <f t="shared" si="16"/>
        <v>0</v>
      </c>
      <c r="L65" s="109"/>
      <c r="M65" s="110"/>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c r="A68" s="838"/>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SUM(J72:J73)</f>
        <v>0</v>
      </c>
      <c r="K71" s="140">
        <f t="shared" si="18"/>
        <v>0</v>
      </c>
      <c r="L71" s="140">
        <f t="shared" si="18"/>
        <v>0</v>
      </c>
      <c r="M71" s="141">
        <f t="shared" si="18"/>
        <v>0</v>
      </c>
      <c r="N71" s="127"/>
    </row>
    <row r="72" spans="1:14" ht="12.75" customHeight="1">
      <c r="A72" s="838"/>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c r="A76" s="30" t="s">
        <v>530</v>
      </c>
      <c r="B76" s="73"/>
      <c r="C76" s="839"/>
      <c r="D76" s="840"/>
      <c r="E76" s="840"/>
      <c r="F76" s="840"/>
      <c r="G76" s="840"/>
      <c r="H76" s="840"/>
      <c r="I76" s="840"/>
      <c r="J76" s="140">
        <f>SUM(E76:I76)</f>
        <v>0</v>
      </c>
      <c r="K76" s="140">
        <f>IF(D76=0,C76+J76,D76+J76)</f>
        <v>0</v>
      </c>
      <c r="L76" s="840"/>
      <c r="M76" s="841"/>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6.25" customHeight="1">
      <c r="A79" s="886" t="s">
        <v>1358</v>
      </c>
      <c r="B79" s="155">
        <v>1</v>
      </c>
      <c r="C79" s="887">
        <f t="shared" ref="C79:I79" si="20">C8+C29+C45+C49+C53+C75+C67+C71</f>
        <v>13300000</v>
      </c>
      <c r="D79" s="888">
        <f t="shared" si="20"/>
        <v>0</v>
      </c>
      <c r="E79" s="888">
        <f t="shared" si="20"/>
        <v>0</v>
      </c>
      <c r="F79" s="888">
        <f t="shared" si="20"/>
        <v>0</v>
      </c>
      <c r="G79" s="888">
        <f t="shared" si="20"/>
        <v>0</v>
      </c>
      <c r="H79" s="888">
        <f t="shared" si="20"/>
        <v>0</v>
      </c>
      <c r="I79" s="888">
        <f t="shared" si="20"/>
        <v>-8276140</v>
      </c>
      <c r="J79" s="888">
        <f>J8+J29+J45+J49+J53+J71+J75</f>
        <v>-8276140</v>
      </c>
      <c r="K79" s="888">
        <f>K8+K29+K45+K49+K53+K71+K75</f>
        <v>5023860</v>
      </c>
      <c r="L79" s="888">
        <f>L8+L29+L45+L49+L53+L75+L67+L71</f>
        <v>13951700</v>
      </c>
      <c r="M79" s="889">
        <f>M8+M29+M45+M49+M53+M75+M67+M71</f>
        <v>14635334</v>
      </c>
      <c r="N79" s="127"/>
    </row>
    <row r="80" spans="1:14" ht="12.75" customHeight="1">
      <c r="A80" s="520"/>
      <c r="B80" s="120"/>
      <c r="C80" s="521"/>
      <c r="D80" s="521"/>
      <c r="E80" s="521"/>
      <c r="F80" s="521"/>
      <c r="G80" s="521"/>
      <c r="H80" s="521"/>
      <c r="I80" s="521"/>
      <c r="J80" s="521"/>
      <c r="K80" s="521"/>
      <c r="L80" s="521"/>
      <c r="M80" s="521"/>
      <c r="N80" s="127"/>
    </row>
    <row r="81" spans="1:14" ht="12.75" customHeight="1">
      <c r="A81" s="879" t="s">
        <v>520</v>
      </c>
      <c r="B81" s="311">
        <v>18</v>
      </c>
      <c r="C81" s="880">
        <f t="shared" ref="C81:I81" si="21">SUM(C82:C85)</f>
        <v>0</v>
      </c>
      <c r="D81" s="881">
        <f t="shared" si="21"/>
        <v>0</v>
      </c>
      <c r="E81" s="881">
        <f t="shared" si="21"/>
        <v>0</v>
      </c>
      <c r="F81" s="881">
        <f t="shared" si="21"/>
        <v>0</v>
      </c>
      <c r="G81" s="881">
        <f t="shared" si="21"/>
        <v>0</v>
      </c>
      <c r="H81" s="881">
        <f t="shared" si="21"/>
        <v>0</v>
      </c>
      <c r="I81" s="881">
        <f t="shared" si="21"/>
        <v>0</v>
      </c>
      <c r="J81" s="881">
        <f>SUM(E81:I81)</f>
        <v>0</v>
      </c>
      <c r="K81" s="881">
        <f>IF(D81=0,C81+J81,D81+J81)</f>
        <v>0</v>
      </c>
      <c r="L81" s="881">
        <f>SUM(L82:L85)</f>
        <v>0</v>
      </c>
      <c r="M81" s="882">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5" t="s">
        <v>1359</v>
      </c>
      <c r="B87" s="120"/>
      <c r="C87" s="53"/>
      <c r="D87" s="53"/>
      <c r="E87" s="53"/>
      <c r="F87" s="53"/>
      <c r="G87" s="53"/>
      <c r="H87" s="53"/>
      <c r="I87" s="5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99" t="s">
        <v>535</v>
      </c>
      <c r="B90" s="93"/>
      <c r="C90" s="96"/>
      <c r="D90" s="96"/>
      <c r="E90" s="96"/>
      <c r="F90" s="96"/>
      <c r="G90" s="96"/>
      <c r="H90" s="96"/>
      <c r="I90" s="96"/>
      <c r="J90" s="96"/>
      <c r="K90" s="96"/>
      <c r="L90" s="96"/>
      <c r="M90" s="96"/>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4" t="s">
        <v>1104</v>
      </c>
      <c r="B93" s="1324"/>
      <c r="C93" s="1324"/>
      <c r="D93" s="1324"/>
      <c r="E93" s="1324"/>
      <c r="F93" s="1324"/>
      <c r="G93" s="1324"/>
      <c r="H93" s="1324"/>
      <c r="I93" s="1324"/>
      <c r="J93" s="1324"/>
      <c r="K93" s="1324"/>
      <c r="L93" s="1324"/>
      <c r="M93" s="1324"/>
      <c r="N93" s="127"/>
    </row>
    <row r="94" spans="1:14" ht="12.75" customHeight="1">
      <c r="A94" s="1324" t="s">
        <v>1110</v>
      </c>
      <c r="B94" s="1324"/>
      <c r="C94" s="1324"/>
      <c r="D94" s="1324"/>
      <c r="E94" s="1324"/>
      <c r="F94" s="1324"/>
      <c r="G94" s="1324"/>
      <c r="H94" s="1324"/>
      <c r="I94" s="1324"/>
      <c r="J94" s="1324"/>
      <c r="K94" s="855"/>
      <c r="L94" s="855"/>
      <c r="M94" s="855"/>
      <c r="N94" s="127"/>
    </row>
    <row r="95" spans="1:14" ht="12.75" customHeight="1">
      <c r="A95" s="1324" t="s">
        <v>1111</v>
      </c>
      <c r="B95" s="1324"/>
      <c r="C95" s="1324"/>
      <c r="D95" s="1324"/>
      <c r="E95" s="1324"/>
      <c r="F95" s="1324"/>
      <c r="G95" s="1324"/>
      <c r="H95" s="1324"/>
      <c r="I95" s="1324"/>
      <c r="J95" s="1324"/>
      <c r="K95" s="855"/>
      <c r="L95" s="855"/>
      <c r="M95" s="855"/>
      <c r="N95" s="127"/>
    </row>
    <row r="96" spans="1:14" ht="12.75" customHeight="1">
      <c r="A96" s="1324" t="s">
        <v>1159</v>
      </c>
      <c r="B96" s="1324"/>
      <c r="C96" s="1324"/>
      <c r="D96" s="1324"/>
      <c r="E96" s="1324"/>
      <c r="F96" s="1324"/>
      <c r="G96" s="1324"/>
      <c r="H96" s="1324"/>
      <c r="I96" s="1324"/>
      <c r="J96" s="1324"/>
      <c r="K96" s="1324"/>
      <c r="L96" s="1324"/>
      <c r="M96" s="1324"/>
      <c r="N96" s="127"/>
    </row>
    <row r="97" spans="1:14" ht="12.75" customHeight="1">
      <c r="A97" s="158" t="s">
        <v>1160</v>
      </c>
      <c r="B97" s="159"/>
      <c r="C97" s="94"/>
      <c r="D97" s="94"/>
      <c r="E97" s="94"/>
      <c r="F97" s="94"/>
      <c r="G97" s="94"/>
      <c r="H97" s="94"/>
      <c r="I97" s="94"/>
      <c r="J97" s="94"/>
      <c r="K97" s="94"/>
      <c r="L97" s="94"/>
      <c r="M97" s="94"/>
      <c r="N97" s="127"/>
    </row>
    <row r="98" spans="1:14" ht="12.75" customHeight="1">
      <c r="A98" s="1324" t="s">
        <v>1161</v>
      </c>
      <c r="B98" s="1324"/>
      <c r="C98" s="1324"/>
      <c r="D98" s="1324"/>
      <c r="E98" s="1324"/>
      <c r="F98" s="1324"/>
      <c r="G98" s="1324"/>
      <c r="H98" s="1324"/>
      <c r="I98" s="1324"/>
      <c r="J98" s="1324"/>
      <c r="K98" s="1324"/>
      <c r="L98" s="1324"/>
      <c r="M98" s="1324"/>
      <c r="N98" s="127"/>
    </row>
    <row r="99" spans="1:14" ht="12.75" customHeight="1">
      <c r="A99" s="158" t="s">
        <v>1162</v>
      </c>
      <c r="B99" s="159"/>
      <c r="C99" s="94"/>
      <c r="D99" s="94"/>
      <c r="E99" s="94"/>
      <c r="F99" s="94"/>
      <c r="G99" s="94"/>
      <c r="H99" s="94"/>
      <c r="I99" s="94"/>
      <c r="J99" s="94"/>
      <c r="K99" s="94"/>
      <c r="L99" s="94"/>
      <c r="M99" s="94"/>
      <c r="N99" s="127"/>
    </row>
    <row r="100" spans="1:14" ht="12.75" customHeight="1">
      <c r="A100" s="1324" t="s">
        <v>1163</v>
      </c>
      <c r="B100" s="1324"/>
      <c r="C100" s="1324"/>
      <c r="D100" s="1324"/>
      <c r="E100" s="1324"/>
      <c r="F100" s="1324"/>
      <c r="G100" s="1324"/>
      <c r="H100" s="1324"/>
      <c r="I100" s="1324"/>
      <c r="J100" s="1324"/>
      <c r="K100" s="1324"/>
      <c r="L100" s="1324"/>
      <c r="M100" s="1324"/>
      <c r="N100" s="127"/>
    </row>
    <row r="101" spans="1:14" ht="12.75" customHeight="1">
      <c r="A101" s="856" t="s">
        <v>1455</v>
      </c>
      <c r="B101" s="811"/>
      <c r="C101" s="811"/>
      <c r="D101" s="811"/>
      <c r="E101" s="811"/>
      <c r="F101" s="811"/>
      <c r="G101" s="811"/>
      <c r="H101" s="811"/>
      <c r="I101" s="811"/>
      <c r="J101" s="811"/>
      <c r="K101" s="811"/>
      <c r="L101" s="811"/>
      <c r="M101" s="811"/>
      <c r="N101" s="127"/>
    </row>
    <row r="102" spans="1:14" ht="12.75" customHeight="1">
      <c r="A102" s="856" t="s">
        <v>1453</v>
      </c>
      <c r="B102" s="811"/>
      <c r="C102" s="811"/>
      <c r="D102" s="811"/>
      <c r="E102" s="811"/>
      <c r="F102" s="811"/>
      <c r="G102" s="811"/>
      <c r="H102" s="811"/>
      <c r="I102" s="811"/>
      <c r="J102" s="811"/>
      <c r="K102" s="811"/>
      <c r="L102" s="811"/>
      <c r="M102" s="811"/>
      <c r="N102" s="127"/>
    </row>
    <row r="103" spans="1:14" ht="12.75" customHeight="1">
      <c r="A103" s="856" t="s">
        <v>1452</v>
      </c>
      <c r="B103" s="811"/>
      <c r="C103" s="811"/>
      <c r="D103" s="811"/>
      <c r="E103" s="811"/>
      <c r="F103" s="811"/>
      <c r="G103" s="811"/>
      <c r="H103" s="811"/>
      <c r="I103" s="811"/>
      <c r="J103" s="811"/>
      <c r="K103" s="811"/>
      <c r="L103" s="811"/>
      <c r="M103" s="811"/>
      <c r="N103" s="127"/>
    </row>
    <row r="104" spans="1:14" ht="12.75" customHeight="1">
      <c r="A104" s="856" t="s">
        <v>1456</v>
      </c>
      <c r="B104" s="811"/>
      <c r="C104" s="811"/>
      <c r="D104" s="811"/>
      <c r="E104" s="811"/>
      <c r="F104" s="811"/>
      <c r="G104" s="811"/>
      <c r="H104" s="811"/>
      <c r="I104" s="811"/>
      <c r="J104" s="811"/>
      <c r="K104" s="811"/>
      <c r="L104" s="811"/>
      <c r="M104" s="811"/>
      <c r="N104" s="127"/>
    </row>
    <row r="105" spans="1:14" ht="11.25" customHeight="1">
      <c r="A105" s="349"/>
      <c r="B105" s="810"/>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121" t="s">
        <v>726</v>
      </c>
      <c r="B107" s="159"/>
      <c r="C107" s="813">
        <f>C79-'B5-Capex'!C65</f>
        <v>-152329847</v>
      </c>
      <c r="D107" s="813"/>
      <c r="E107" s="813"/>
      <c r="F107" s="813"/>
      <c r="G107" s="813"/>
      <c r="H107" s="813"/>
      <c r="I107" s="813"/>
      <c r="J107" s="813"/>
      <c r="K107" s="813"/>
      <c r="L107" s="813"/>
      <c r="M107" s="813">
        <f>M79-'B5-Capex'!M65</f>
        <v>-201617513</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17"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sheetPr codeName="Sheet8" enableFormatConditionsCalculation="0">
    <tabColor indexed="42"/>
  </sheetPr>
  <dimension ref="A1:N142"/>
  <sheetViews>
    <sheetView showGridLines="0" workbookViewId="0">
      <pane xSplit="2" ySplit="5" topLeftCell="C6" activePane="bottomRight" state="frozen"/>
      <selection pane="topRight" activeCell="C1" sqref="C1"/>
      <selection pane="bottomLeft" activeCell="A6" sqref="A6"/>
      <selection pane="bottomRight" activeCell="E76" sqref="E76"/>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"&amp;ADJB18c&amp;" - "&amp;Date</f>
        <v>LIM333 Greater Tzaneen - Supporting Table SB18c Consolidated Adjustments Budget - expenditure on repairs and maintenance by asset class - 26 FEBRUARY 2014</v>
      </c>
      <c r="B1" s="5"/>
      <c r="C1" s="58"/>
    </row>
    <row r="2" spans="1:14" ht="25.5">
      <c r="A2" s="1322" t="str">
        <f>desc</f>
        <v>Description</v>
      </c>
      <c r="B2" s="1322" t="str">
        <f>head27</f>
        <v>Ref</v>
      </c>
      <c r="C2" s="1319" t="str">
        <f>Head2</f>
        <v>Budget Year 2013/14</v>
      </c>
      <c r="D2" s="1320"/>
      <c r="E2" s="1320"/>
      <c r="F2" s="1320"/>
      <c r="G2" s="1320"/>
      <c r="H2" s="1320"/>
      <c r="I2" s="1320"/>
      <c r="J2" s="1320"/>
      <c r="K2" s="1321"/>
      <c r="L2" s="169" t="str">
        <f>Head10</f>
        <v>Budget Year +1 2014/15</v>
      </c>
      <c r="M2" s="170"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3" t="s">
        <v>1360</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9">
        <f t="shared" ref="C8:M8" si="0">C9+C12+C16+C20+C23</f>
        <v>54923095</v>
      </c>
      <c r="D8" s="719">
        <f t="shared" si="0"/>
        <v>0</v>
      </c>
      <c r="E8" s="719">
        <f t="shared" si="0"/>
        <v>0</v>
      </c>
      <c r="F8" s="719">
        <f t="shared" si="0"/>
        <v>0</v>
      </c>
      <c r="G8" s="719">
        <f t="shared" si="0"/>
        <v>0</v>
      </c>
      <c r="H8" s="719">
        <f t="shared" si="0"/>
        <v>0</v>
      </c>
      <c r="I8" s="719">
        <f t="shared" si="0"/>
        <v>0</v>
      </c>
      <c r="J8" s="720">
        <f>SUM(E8:I8)</f>
        <v>0</v>
      </c>
      <c r="K8" s="720">
        <f>IF(D8=0,C8+J8,D8+J8)</f>
        <v>54923095</v>
      </c>
      <c r="L8" s="719">
        <f t="shared" si="0"/>
        <v>57614327</v>
      </c>
      <c r="M8" s="721">
        <f t="shared" si="0"/>
        <v>60437429</v>
      </c>
      <c r="N8" s="873"/>
    </row>
    <row r="9" spans="1:14" ht="12.75" customHeight="1">
      <c r="A9" s="609" t="s">
        <v>487</v>
      </c>
      <c r="B9" s="73"/>
      <c r="C9" s="265">
        <f t="shared" ref="C9:M9" si="1">SUM(C10:C11)</f>
        <v>24108685</v>
      </c>
      <c r="D9" s="265">
        <f t="shared" si="1"/>
        <v>0</v>
      </c>
      <c r="E9" s="265">
        <f t="shared" si="1"/>
        <v>0</v>
      </c>
      <c r="F9" s="265">
        <f t="shared" si="1"/>
        <v>0</v>
      </c>
      <c r="G9" s="265">
        <f t="shared" si="1"/>
        <v>0</v>
      </c>
      <c r="H9" s="265">
        <f t="shared" si="1"/>
        <v>0</v>
      </c>
      <c r="I9" s="265">
        <f t="shared" si="1"/>
        <v>0</v>
      </c>
      <c r="J9" s="75">
        <f t="shared" ref="J9:J29" si="2">SUM(E9:I9)</f>
        <v>0</v>
      </c>
      <c r="K9" s="75">
        <f t="shared" ref="K9:K29" si="3">IF(D9=0,C9+J9,D9+J9)</f>
        <v>24108685</v>
      </c>
      <c r="L9" s="265">
        <f t="shared" si="1"/>
        <v>25290011</v>
      </c>
      <c r="M9" s="266">
        <f t="shared" si="1"/>
        <v>26529221</v>
      </c>
      <c r="N9" s="127"/>
    </row>
    <row r="10" spans="1:14" ht="12.75" customHeight="1">
      <c r="A10" s="610" t="s">
        <v>488</v>
      </c>
      <c r="B10" s="73"/>
      <c r="C10" s="109">
        <v>14600362</v>
      </c>
      <c r="D10" s="109"/>
      <c r="E10" s="109"/>
      <c r="F10" s="109"/>
      <c r="G10" s="109"/>
      <c r="H10" s="109"/>
      <c r="I10" s="109"/>
      <c r="J10" s="75">
        <f t="shared" si="2"/>
        <v>0</v>
      </c>
      <c r="K10" s="75">
        <f t="shared" si="3"/>
        <v>14600362</v>
      </c>
      <c r="L10" s="109">
        <v>15315780</v>
      </c>
      <c r="M10" s="109">
        <v>16066253</v>
      </c>
      <c r="N10" s="873"/>
    </row>
    <row r="11" spans="1:14" ht="12.75" customHeight="1">
      <c r="A11" s="610" t="s">
        <v>489</v>
      </c>
      <c r="B11" s="73"/>
      <c r="C11" s="109">
        <v>9508323</v>
      </c>
      <c r="D11" s="109"/>
      <c r="E11" s="109"/>
      <c r="F11" s="109"/>
      <c r="G11" s="109"/>
      <c r="H11" s="109"/>
      <c r="I11" s="109"/>
      <c r="J11" s="75">
        <f t="shared" si="2"/>
        <v>0</v>
      </c>
      <c r="K11" s="75">
        <f t="shared" si="3"/>
        <v>9508323</v>
      </c>
      <c r="L11" s="109">
        <v>9974231</v>
      </c>
      <c r="M11" s="109">
        <v>10462968</v>
      </c>
      <c r="N11" s="878"/>
    </row>
    <row r="12" spans="1:14" ht="12.75" customHeight="1">
      <c r="A12" s="609" t="s">
        <v>490</v>
      </c>
      <c r="B12" s="73"/>
      <c r="C12" s="131">
        <f t="shared" ref="C12:M12" si="4">SUM(C13:C15)</f>
        <v>30759510</v>
      </c>
      <c r="D12" s="131">
        <f t="shared" si="4"/>
        <v>0</v>
      </c>
      <c r="E12" s="131">
        <f t="shared" si="4"/>
        <v>0</v>
      </c>
      <c r="F12" s="131">
        <f t="shared" si="4"/>
        <v>0</v>
      </c>
      <c r="G12" s="131">
        <f t="shared" si="4"/>
        <v>0</v>
      </c>
      <c r="H12" s="131">
        <f t="shared" si="4"/>
        <v>0</v>
      </c>
      <c r="I12" s="131">
        <f t="shared" si="4"/>
        <v>0</v>
      </c>
      <c r="J12" s="75">
        <f t="shared" si="2"/>
        <v>0</v>
      </c>
      <c r="K12" s="75">
        <f t="shared" si="3"/>
        <v>30759510</v>
      </c>
      <c r="L12" s="131">
        <f t="shared" si="4"/>
        <v>32266726</v>
      </c>
      <c r="M12" s="132">
        <f t="shared" si="4"/>
        <v>33847796</v>
      </c>
      <c r="N12" s="878"/>
    </row>
    <row r="13" spans="1:14" ht="12.75" customHeight="1">
      <c r="A13" s="610" t="s">
        <v>491</v>
      </c>
      <c r="B13" s="73"/>
      <c r="C13" s="109"/>
      <c r="D13" s="109"/>
      <c r="E13" s="109"/>
      <c r="F13" s="109"/>
      <c r="G13" s="109"/>
      <c r="H13" s="109"/>
      <c r="I13" s="109"/>
      <c r="J13" s="75">
        <f t="shared" si="2"/>
        <v>0</v>
      </c>
      <c r="K13" s="75">
        <f t="shared" si="3"/>
        <v>0</v>
      </c>
      <c r="L13" s="109"/>
      <c r="M13" s="109"/>
      <c r="N13" s="878"/>
    </row>
    <row r="14" spans="1:14" ht="12.75" customHeight="1">
      <c r="A14" s="610" t="s">
        <v>492</v>
      </c>
      <c r="B14" s="73"/>
      <c r="C14" s="109">
        <v>29904899</v>
      </c>
      <c r="D14" s="109"/>
      <c r="E14" s="109"/>
      <c r="F14" s="109"/>
      <c r="G14" s="109"/>
      <c r="H14" s="109"/>
      <c r="I14" s="109"/>
      <c r="J14" s="75">
        <f t="shared" si="2"/>
        <v>0</v>
      </c>
      <c r="K14" s="75">
        <f t="shared" si="3"/>
        <v>29904899</v>
      </c>
      <c r="L14" s="109">
        <v>31370239</v>
      </c>
      <c r="M14" s="109">
        <v>32907381</v>
      </c>
      <c r="N14" s="878"/>
    </row>
    <row r="15" spans="1:14" ht="12.75" customHeight="1">
      <c r="A15" s="610" t="s">
        <v>493</v>
      </c>
      <c r="B15" s="73"/>
      <c r="C15" s="109">
        <v>854611</v>
      </c>
      <c r="D15" s="109"/>
      <c r="E15" s="109"/>
      <c r="F15" s="109"/>
      <c r="G15" s="109"/>
      <c r="H15" s="109"/>
      <c r="I15" s="109"/>
      <c r="J15" s="75">
        <f t="shared" si="2"/>
        <v>0</v>
      </c>
      <c r="K15" s="75">
        <f t="shared" si="3"/>
        <v>854611</v>
      </c>
      <c r="L15" s="109">
        <v>896487</v>
      </c>
      <c r="M15" s="109">
        <v>940415</v>
      </c>
      <c r="N15" s="878"/>
    </row>
    <row r="16" spans="1:14" ht="12.75" customHeight="1">
      <c r="A16" s="611" t="s">
        <v>494</v>
      </c>
      <c r="B16" s="73"/>
      <c r="C16" s="131">
        <f t="shared" ref="C16:M16" si="5">SUM(C17:C19)</f>
        <v>0</v>
      </c>
      <c r="D16" s="131"/>
      <c r="E16" s="131"/>
      <c r="F16" s="131">
        <f t="shared" si="5"/>
        <v>0</v>
      </c>
      <c r="G16" s="131">
        <f t="shared" si="5"/>
        <v>0</v>
      </c>
      <c r="H16" s="131">
        <f t="shared" si="5"/>
        <v>0</v>
      </c>
      <c r="I16" s="131">
        <f t="shared" si="5"/>
        <v>0</v>
      </c>
      <c r="J16" s="75">
        <f t="shared" si="2"/>
        <v>0</v>
      </c>
      <c r="K16" s="75">
        <f t="shared" si="3"/>
        <v>0</v>
      </c>
      <c r="L16" s="131">
        <f t="shared" si="5"/>
        <v>0</v>
      </c>
      <c r="M16" s="132">
        <f t="shared" si="5"/>
        <v>0</v>
      </c>
      <c r="N16" s="878"/>
    </row>
    <row r="17" spans="1:14" ht="12.75" customHeight="1">
      <c r="A17" s="610" t="s">
        <v>495</v>
      </c>
      <c r="B17" s="73"/>
      <c r="C17" s="109"/>
      <c r="D17" s="109"/>
      <c r="E17" s="109"/>
      <c r="F17" s="109"/>
      <c r="G17" s="109"/>
      <c r="H17" s="109"/>
      <c r="I17" s="109"/>
      <c r="J17" s="75">
        <f t="shared" si="2"/>
        <v>0</v>
      </c>
      <c r="K17" s="75">
        <f t="shared" si="3"/>
        <v>0</v>
      </c>
      <c r="L17" s="109"/>
      <c r="M17" s="110"/>
      <c r="N17" s="878"/>
    </row>
    <row r="18" spans="1:14" ht="12.75" customHeight="1">
      <c r="A18" s="610" t="s">
        <v>496</v>
      </c>
      <c r="B18" s="73"/>
      <c r="C18" s="109"/>
      <c r="D18" s="109"/>
      <c r="E18" s="109"/>
      <c r="F18" s="109"/>
      <c r="G18" s="109"/>
      <c r="H18" s="109"/>
      <c r="I18" s="109"/>
      <c r="J18" s="75">
        <f t="shared" si="2"/>
        <v>0</v>
      </c>
      <c r="K18" s="75">
        <f t="shared" si="3"/>
        <v>0</v>
      </c>
      <c r="L18" s="109"/>
      <c r="M18" s="110"/>
      <c r="N18" s="878"/>
    </row>
    <row r="19" spans="1:14" ht="12.75" customHeight="1">
      <c r="A19" s="610" t="s">
        <v>497</v>
      </c>
      <c r="B19" s="73"/>
      <c r="C19" s="109"/>
      <c r="D19" s="109"/>
      <c r="E19" s="109"/>
      <c r="F19" s="109"/>
      <c r="G19" s="109"/>
      <c r="H19" s="109"/>
      <c r="I19" s="109"/>
      <c r="J19" s="75">
        <f t="shared" si="2"/>
        <v>0</v>
      </c>
      <c r="K19" s="75">
        <f t="shared" si="3"/>
        <v>0</v>
      </c>
      <c r="L19" s="109"/>
      <c r="M19" s="110"/>
      <c r="N19" s="878"/>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8"/>
    </row>
    <row r="21" spans="1:14" ht="12.75" customHeight="1">
      <c r="A21" s="610" t="s">
        <v>497</v>
      </c>
      <c r="B21" s="73"/>
      <c r="C21" s="109"/>
      <c r="D21" s="109"/>
      <c r="E21" s="109"/>
      <c r="F21" s="109"/>
      <c r="G21" s="109"/>
      <c r="H21" s="109"/>
      <c r="I21" s="109"/>
      <c r="J21" s="75">
        <f t="shared" si="2"/>
        <v>0</v>
      </c>
      <c r="K21" s="75">
        <f t="shared" si="3"/>
        <v>0</v>
      </c>
      <c r="L21" s="109"/>
      <c r="M21" s="110"/>
      <c r="N21" s="878"/>
    </row>
    <row r="22" spans="1:14" ht="12.75" customHeight="1">
      <c r="A22" s="610" t="s">
        <v>499</v>
      </c>
      <c r="B22" s="73"/>
      <c r="C22" s="109"/>
      <c r="D22" s="109"/>
      <c r="E22" s="109"/>
      <c r="F22" s="109"/>
      <c r="G22" s="109"/>
      <c r="H22" s="109"/>
      <c r="I22" s="109"/>
      <c r="J22" s="75">
        <f t="shared" si="2"/>
        <v>0</v>
      </c>
      <c r="K22" s="75">
        <f t="shared" si="3"/>
        <v>0</v>
      </c>
      <c r="L22" s="109"/>
      <c r="M22" s="110"/>
      <c r="N22" s="878"/>
    </row>
    <row r="23" spans="1:14" ht="12.75" customHeight="1">
      <c r="A23" s="609" t="s">
        <v>500</v>
      </c>
      <c r="B23" s="73"/>
      <c r="C23" s="131">
        <f t="shared" ref="C23:M23" si="7">SUM(C24:C27)</f>
        <v>54900</v>
      </c>
      <c r="D23" s="131">
        <f t="shared" si="7"/>
        <v>0</v>
      </c>
      <c r="E23" s="131">
        <f t="shared" si="7"/>
        <v>0</v>
      </c>
      <c r="F23" s="131">
        <f t="shared" si="7"/>
        <v>0</v>
      </c>
      <c r="G23" s="131">
        <f t="shared" si="7"/>
        <v>0</v>
      </c>
      <c r="H23" s="131">
        <f t="shared" si="7"/>
        <v>0</v>
      </c>
      <c r="I23" s="131">
        <f t="shared" si="7"/>
        <v>0</v>
      </c>
      <c r="J23" s="75">
        <f t="shared" si="2"/>
        <v>0</v>
      </c>
      <c r="K23" s="75">
        <f t="shared" si="3"/>
        <v>54900</v>
      </c>
      <c r="L23" s="131">
        <f t="shared" si="7"/>
        <v>57590</v>
      </c>
      <c r="M23" s="132">
        <f t="shared" si="7"/>
        <v>60412</v>
      </c>
      <c r="N23" s="878"/>
    </row>
    <row r="24" spans="1:14" ht="12.75" customHeight="1">
      <c r="A24" s="612" t="s">
        <v>1240</v>
      </c>
      <c r="B24" s="73"/>
      <c r="C24" s="109">
        <v>54900</v>
      </c>
      <c r="D24" s="109"/>
      <c r="E24" s="109"/>
      <c r="F24" s="109"/>
      <c r="G24" s="109"/>
      <c r="H24" s="109"/>
      <c r="I24" s="109"/>
      <c r="J24" s="75">
        <f t="shared" si="2"/>
        <v>0</v>
      </c>
      <c r="K24" s="75">
        <f t="shared" si="3"/>
        <v>54900</v>
      </c>
      <c r="L24" s="109">
        <v>57590</v>
      </c>
      <c r="M24" s="109">
        <v>60412</v>
      </c>
      <c r="N24" s="878"/>
    </row>
    <row r="25" spans="1:14" ht="12.75" customHeight="1">
      <c r="A25" s="612" t="s">
        <v>501</v>
      </c>
      <c r="B25" s="73">
        <v>2</v>
      </c>
      <c r="C25" s="109"/>
      <c r="D25" s="109"/>
      <c r="E25" s="109"/>
      <c r="F25" s="109"/>
      <c r="G25" s="109"/>
      <c r="H25" s="109"/>
      <c r="I25" s="109"/>
      <c r="J25" s="75">
        <f t="shared" si="2"/>
        <v>0</v>
      </c>
      <c r="K25" s="75">
        <f t="shared" si="3"/>
        <v>0</v>
      </c>
      <c r="L25" s="109"/>
      <c r="M25" s="110"/>
      <c r="N25" s="878"/>
    </row>
    <row r="26" spans="1:14" ht="12.75" customHeight="1">
      <c r="A26" s="612" t="s">
        <v>502</v>
      </c>
      <c r="B26" s="73"/>
      <c r="C26" s="109"/>
      <c r="D26" s="109"/>
      <c r="E26" s="109"/>
      <c r="F26" s="109"/>
      <c r="G26" s="109"/>
      <c r="H26" s="109"/>
      <c r="I26" s="109"/>
      <c r="J26" s="75">
        <f t="shared" si="2"/>
        <v>0</v>
      </c>
      <c r="K26" s="75">
        <f t="shared" si="3"/>
        <v>0</v>
      </c>
      <c r="L26" s="109"/>
      <c r="M26" s="110"/>
      <c r="N26" s="878"/>
    </row>
    <row r="27" spans="1:14" ht="12.75" customHeight="1">
      <c r="A27" s="612" t="s">
        <v>673</v>
      </c>
      <c r="B27" s="73">
        <v>3</v>
      </c>
      <c r="C27" s="109"/>
      <c r="D27" s="109"/>
      <c r="E27" s="109"/>
      <c r="F27" s="109"/>
      <c r="G27" s="109"/>
      <c r="H27" s="109"/>
      <c r="I27" s="109"/>
      <c r="J27" s="75">
        <f t="shared" si="2"/>
        <v>0</v>
      </c>
      <c r="K27" s="75">
        <f t="shared" si="3"/>
        <v>0</v>
      </c>
      <c r="L27" s="109"/>
      <c r="M27" s="110"/>
      <c r="N27" s="878"/>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3644043</v>
      </c>
      <c r="D29" s="140">
        <f t="shared" si="8"/>
        <v>0</v>
      </c>
      <c r="E29" s="140">
        <f t="shared" si="8"/>
        <v>0</v>
      </c>
      <c r="F29" s="140">
        <f t="shared" si="8"/>
        <v>0</v>
      </c>
      <c r="G29" s="140">
        <f t="shared" si="8"/>
        <v>0</v>
      </c>
      <c r="H29" s="140">
        <f t="shared" si="8"/>
        <v>0</v>
      </c>
      <c r="I29" s="140">
        <f t="shared" si="8"/>
        <v>0</v>
      </c>
      <c r="J29" s="75">
        <f t="shared" si="2"/>
        <v>0</v>
      </c>
      <c r="K29" s="75">
        <f t="shared" si="3"/>
        <v>3644043</v>
      </c>
      <c r="L29" s="140">
        <f t="shared" si="8"/>
        <v>3822601</v>
      </c>
      <c r="M29" s="141">
        <f t="shared" si="8"/>
        <v>4009909</v>
      </c>
      <c r="N29" s="127"/>
    </row>
    <row r="30" spans="1:14" ht="12.75" customHeight="1">
      <c r="A30" s="128" t="s">
        <v>503</v>
      </c>
      <c r="B30" s="73"/>
      <c r="C30" s="129">
        <v>3593386</v>
      </c>
      <c r="D30" s="109"/>
      <c r="E30" s="109"/>
      <c r="F30" s="109"/>
      <c r="G30" s="109"/>
      <c r="H30" s="109"/>
      <c r="I30" s="109"/>
      <c r="J30" s="75">
        <f t="shared" ref="J30:J41" si="9">SUM(E30:I30)</f>
        <v>0</v>
      </c>
      <c r="K30" s="75">
        <f t="shared" ref="K30:K41" si="10">IF(D30=0,C30+J30,D30+J30)</f>
        <v>3593386</v>
      </c>
      <c r="L30" s="109">
        <v>3769462</v>
      </c>
      <c r="M30" s="109">
        <v>3954166</v>
      </c>
      <c r="N30" s="127"/>
    </row>
    <row r="31" spans="1:14" ht="12.75" customHeight="1">
      <c r="A31" s="128" t="s">
        <v>504</v>
      </c>
      <c r="B31" s="73"/>
      <c r="C31" s="129"/>
      <c r="D31" s="109"/>
      <c r="E31" s="109"/>
      <c r="F31" s="109"/>
      <c r="G31" s="109"/>
      <c r="H31" s="109"/>
      <c r="I31" s="109"/>
      <c r="J31" s="75">
        <f t="shared" si="9"/>
        <v>0</v>
      </c>
      <c r="K31" s="75">
        <f t="shared" si="10"/>
        <v>0</v>
      </c>
      <c r="L31" s="109"/>
      <c r="M31" s="109"/>
      <c r="N31" s="127"/>
    </row>
    <row r="32" spans="1:14" ht="12.75" customHeight="1">
      <c r="A32" s="128" t="s">
        <v>505</v>
      </c>
      <c r="B32" s="73"/>
      <c r="C32" s="129">
        <v>50657</v>
      </c>
      <c r="D32" s="109"/>
      <c r="E32" s="109"/>
      <c r="F32" s="109"/>
      <c r="G32" s="109"/>
      <c r="H32" s="109"/>
      <c r="I32" s="109"/>
      <c r="J32" s="75">
        <f t="shared" si="9"/>
        <v>0</v>
      </c>
      <c r="K32" s="75">
        <f t="shared" si="10"/>
        <v>50657</v>
      </c>
      <c r="L32" s="109">
        <v>53139</v>
      </c>
      <c r="M32" s="109">
        <v>55743</v>
      </c>
      <c r="N32" s="127"/>
    </row>
    <row r="33" spans="1:14" ht="12.75" customHeight="1">
      <c r="A33" s="128" t="s">
        <v>506</v>
      </c>
      <c r="B33" s="73"/>
      <c r="C33" s="129"/>
      <c r="D33" s="109"/>
      <c r="E33" s="109"/>
      <c r="F33" s="109"/>
      <c r="G33" s="109"/>
      <c r="H33" s="109"/>
      <c r="I33" s="109"/>
      <c r="J33" s="75">
        <f t="shared" si="9"/>
        <v>0</v>
      </c>
      <c r="K33" s="75">
        <f t="shared" si="10"/>
        <v>0</v>
      </c>
      <c r="L33" s="109"/>
      <c r="M33" s="110"/>
      <c r="N33" s="127"/>
    </row>
    <row r="34" spans="1:14" ht="12.75" customHeight="1">
      <c r="A34" s="128" t="s">
        <v>507</v>
      </c>
      <c r="B34" s="73"/>
      <c r="C34" s="129"/>
      <c r="D34" s="109"/>
      <c r="E34" s="109"/>
      <c r="F34" s="109"/>
      <c r="G34" s="109"/>
      <c r="H34" s="109"/>
      <c r="I34" s="109"/>
      <c r="J34" s="75">
        <f t="shared" si="9"/>
        <v>0</v>
      </c>
      <c r="K34" s="75">
        <f t="shared" si="10"/>
        <v>0</v>
      </c>
      <c r="L34" s="109"/>
      <c r="M34" s="110"/>
      <c r="N34" s="127"/>
    </row>
    <row r="35" spans="1:14" ht="12.75" customHeight="1">
      <c r="A35" s="128" t="s">
        <v>508</v>
      </c>
      <c r="B35" s="73"/>
      <c r="C35" s="129"/>
      <c r="D35" s="109"/>
      <c r="E35" s="109"/>
      <c r="F35" s="109"/>
      <c r="G35" s="109"/>
      <c r="H35" s="109"/>
      <c r="I35" s="109"/>
      <c r="J35" s="75">
        <f t="shared" si="9"/>
        <v>0</v>
      </c>
      <c r="K35" s="75">
        <f t="shared" si="10"/>
        <v>0</v>
      </c>
      <c r="L35" s="109"/>
      <c r="M35" s="110"/>
      <c r="N35" s="127"/>
    </row>
    <row r="36" spans="1:14" ht="12.75" customHeight="1">
      <c r="A36" s="128" t="s">
        <v>509</v>
      </c>
      <c r="B36" s="73"/>
      <c r="C36" s="129"/>
      <c r="D36" s="109"/>
      <c r="E36" s="109"/>
      <c r="F36" s="109"/>
      <c r="G36" s="109"/>
      <c r="H36" s="109"/>
      <c r="I36" s="109"/>
      <c r="J36" s="75">
        <f t="shared" si="9"/>
        <v>0</v>
      </c>
      <c r="K36" s="75">
        <f t="shared" si="10"/>
        <v>0</v>
      </c>
      <c r="L36" s="109"/>
      <c r="M36" s="110"/>
      <c r="N36" s="127"/>
    </row>
    <row r="37" spans="1:14" ht="12.75" customHeight="1">
      <c r="A37" s="128" t="s">
        <v>510</v>
      </c>
      <c r="B37" s="73"/>
      <c r="C37" s="129"/>
      <c r="D37" s="109"/>
      <c r="E37" s="109"/>
      <c r="F37" s="109"/>
      <c r="G37" s="109"/>
      <c r="H37" s="109"/>
      <c r="I37" s="109"/>
      <c r="J37" s="75">
        <f t="shared" si="9"/>
        <v>0</v>
      </c>
      <c r="K37" s="75">
        <f t="shared" si="10"/>
        <v>0</v>
      </c>
      <c r="L37" s="109"/>
      <c r="M37" s="110"/>
      <c r="N37" s="127"/>
    </row>
    <row r="38" spans="1:14" ht="12.75" customHeight="1">
      <c r="A38" s="128" t="s">
        <v>511</v>
      </c>
      <c r="B38" s="73"/>
      <c r="C38" s="129"/>
      <c r="D38" s="109"/>
      <c r="E38" s="109"/>
      <c r="F38" s="109"/>
      <c r="G38" s="109"/>
      <c r="H38" s="109"/>
      <c r="I38" s="109"/>
      <c r="J38" s="75">
        <f t="shared" si="9"/>
        <v>0</v>
      </c>
      <c r="K38" s="75">
        <f t="shared" si="10"/>
        <v>0</v>
      </c>
      <c r="L38" s="109"/>
      <c r="M38" s="110"/>
      <c r="N38" s="127"/>
    </row>
    <row r="39" spans="1:14" ht="12.75" customHeight="1">
      <c r="A39" s="128" t="s">
        <v>512</v>
      </c>
      <c r="B39" s="73"/>
      <c r="C39" s="129"/>
      <c r="D39" s="109"/>
      <c r="E39" s="109"/>
      <c r="F39" s="109"/>
      <c r="G39" s="109"/>
      <c r="H39" s="109"/>
      <c r="I39" s="109"/>
      <c r="J39" s="75">
        <f t="shared" si="9"/>
        <v>0</v>
      </c>
      <c r="K39" s="75">
        <f t="shared" si="10"/>
        <v>0</v>
      </c>
      <c r="L39" s="109"/>
      <c r="M39" s="110"/>
      <c r="N39" s="127"/>
    </row>
    <row r="40" spans="1:14" ht="12.75" customHeight="1">
      <c r="A40" s="128" t="s">
        <v>513</v>
      </c>
      <c r="B40" s="73"/>
      <c r="C40" s="129"/>
      <c r="D40" s="109"/>
      <c r="E40" s="109"/>
      <c r="F40" s="109"/>
      <c r="G40" s="109"/>
      <c r="H40" s="109"/>
      <c r="I40" s="109"/>
      <c r="J40" s="75">
        <f t="shared" si="9"/>
        <v>0</v>
      </c>
      <c r="K40" s="75">
        <f t="shared" si="10"/>
        <v>0</v>
      </c>
      <c r="L40" s="109"/>
      <c r="M40" s="110"/>
      <c r="N40" s="127"/>
    </row>
    <row r="41" spans="1:14" ht="12.75" customHeight="1">
      <c r="A41" s="128" t="s">
        <v>514</v>
      </c>
      <c r="B41" s="73"/>
      <c r="C41" s="129"/>
      <c r="D41" s="109"/>
      <c r="E41" s="109"/>
      <c r="F41" s="109"/>
      <c r="G41" s="109"/>
      <c r="H41" s="109"/>
      <c r="I41" s="109"/>
      <c r="J41" s="75">
        <f t="shared" si="9"/>
        <v>0</v>
      </c>
      <c r="K41" s="75">
        <f t="shared" si="10"/>
        <v>0</v>
      </c>
      <c r="L41" s="109"/>
      <c r="M41" s="110"/>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c r="J43" s="75">
        <f>SUM(E43:I43)</f>
        <v>0</v>
      </c>
      <c r="K43" s="75">
        <f>IF(D43=0,C43+J43,D43+J43)</f>
        <v>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 t="shared" ref="C45:M45" si="11">SUM(C46:C47)</f>
        <v>0</v>
      </c>
      <c r="D45" s="140">
        <f t="shared" si="11"/>
        <v>0</v>
      </c>
      <c r="E45" s="140">
        <f t="shared" si="11"/>
        <v>0</v>
      </c>
      <c r="F45" s="140">
        <f t="shared" si="11"/>
        <v>0</v>
      </c>
      <c r="G45" s="140">
        <f t="shared" si="11"/>
        <v>0</v>
      </c>
      <c r="H45" s="140">
        <f t="shared" si="11"/>
        <v>0</v>
      </c>
      <c r="I45" s="140">
        <f t="shared" si="11"/>
        <v>0</v>
      </c>
      <c r="J45" s="140">
        <f t="shared" si="11"/>
        <v>0</v>
      </c>
      <c r="K45" s="140">
        <f t="shared" si="11"/>
        <v>0</v>
      </c>
      <c r="L45" s="140">
        <f t="shared" si="11"/>
        <v>0</v>
      </c>
      <c r="M45" s="141">
        <f t="shared" si="11"/>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41544737</v>
      </c>
      <c r="D53" s="140">
        <f t="shared" ref="D53:M53" si="13">SUM(D54:D65)</f>
        <v>0</v>
      </c>
      <c r="E53" s="140">
        <f t="shared" si="13"/>
        <v>0</v>
      </c>
      <c r="F53" s="140">
        <f t="shared" si="13"/>
        <v>0</v>
      </c>
      <c r="G53" s="140">
        <f t="shared" si="13"/>
        <v>0</v>
      </c>
      <c r="H53" s="140">
        <f t="shared" si="13"/>
        <v>0</v>
      </c>
      <c r="I53" s="140">
        <f t="shared" si="13"/>
        <v>0</v>
      </c>
      <c r="J53" s="140">
        <f>SUM(J54:J65)</f>
        <v>0</v>
      </c>
      <c r="K53" s="140">
        <f t="shared" si="13"/>
        <v>41544737</v>
      </c>
      <c r="L53" s="140">
        <f t="shared" si="13"/>
        <v>43580429</v>
      </c>
      <c r="M53" s="141">
        <f t="shared" si="13"/>
        <v>45715869</v>
      </c>
      <c r="N53" s="127"/>
    </row>
    <row r="54" spans="1:14" ht="12.75" customHeight="1">
      <c r="A54" s="30" t="s">
        <v>519</v>
      </c>
      <c r="B54" s="73"/>
      <c r="C54" s="129">
        <v>28064714</v>
      </c>
      <c r="D54" s="109"/>
      <c r="E54" s="109"/>
      <c r="F54" s="109"/>
      <c r="G54" s="109"/>
      <c r="H54" s="109"/>
      <c r="I54" s="109"/>
      <c r="J54" s="75">
        <f>SUM(E54:I54)</f>
        <v>0</v>
      </c>
      <c r="K54" s="75">
        <f>IF(D54=0,C54+J54,D54+J54)</f>
        <v>28064714</v>
      </c>
      <c r="L54" s="109">
        <v>29439885</v>
      </c>
      <c r="M54" s="109">
        <v>30882439</v>
      </c>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171">
        <f>SUM(E55:I55)</f>
        <v>0</v>
      </c>
      <c r="K55" s="171">
        <f>IF(D55=0,C55+J55,D55+J55)</f>
        <v>0</v>
      </c>
      <c r="L55" s="131">
        <f>L81</f>
        <v>0</v>
      </c>
      <c r="M55" s="132">
        <f>M81</f>
        <v>0</v>
      </c>
      <c r="N55" s="127"/>
    </row>
    <row r="56" spans="1:14" ht="12.75" customHeight="1">
      <c r="A56" s="30" t="s">
        <v>521</v>
      </c>
      <c r="B56" s="136"/>
      <c r="C56" s="129">
        <v>344580</v>
      </c>
      <c r="D56" s="109"/>
      <c r="E56" s="109"/>
      <c r="F56" s="109"/>
      <c r="G56" s="109"/>
      <c r="H56" s="109"/>
      <c r="I56" s="109"/>
      <c r="J56" s="75">
        <f t="shared" ref="J56:J65" si="15">SUM(E56:I56)</f>
        <v>0</v>
      </c>
      <c r="K56" s="75">
        <f t="shared" ref="K56:K65" si="16">IF(D56=0,C56+J56,D56+J56)</f>
        <v>344580</v>
      </c>
      <c r="L56" s="109">
        <v>361464</v>
      </c>
      <c r="M56" s="109">
        <v>379176</v>
      </c>
      <c r="N56" s="127"/>
    </row>
    <row r="57" spans="1:14" ht="12.75" customHeight="1">
      <c r="A57" s="30" t="s">
        <v>522</v>
      </c>
      <c r="B57" s="73"/>
      <c r="C57" s="129">
        <v>421000</v>
      </c>
      <c r="D57" s="109"/>
      <c r="E57" s="109"/>
      <c r="F57" s="109"/>
      <c r="G57" s="109"/>
      <c r="H57" s="109"/>
      <c r="I57" s="109"/>
      <c r="J57" s="75">
        <f t="shared" si="15"/>
        <v>0</v>
      </c>
      <c r="K57" s="75">
        <f t="shared" si="16"/>
        <v>421000</v>
      </c>
      <c r="L57" s="109">
        <v>441629</v>
      </c>
      <c r="M57" s="109">
        <v>463269</v>
      </c>
      <c r="N57" s="127"/>
    </row>
    <row r="58" spans="1:14" ht="12.75" customHeight="1">
      <c r="A58" s="30" t="s">
        <v>523</v>
      </c>
      <c r="B58" s="73"/>
      <c r="C58" s="129">
        <v>82085</v>
      </c>
      <c r="D58" s="109"/>
      <c r="E58" s="109"/>
      <c r="F58" s="109"/>
      <c r="G58" s="109"/>
      <c r="H58" s="109"/>
      <c r="I58" s="109"/>
      <c r="J58" s="75">
        <f t="shared" si="15"/>
        <v>0</v>
      </c>
      <c r="K58" s="75">
        <f t="shared" si="16"/>
        <v>82085</v>
      </c>
      <c r="L58" s="109">
        <v>86107</v>
      </c>
      <c r="M58" s="109">
        <v>90326</v>
      </c>
      <c r="N58" s="127"/>
    </row>
    <row r="59" spans="1:14" ht="12.75" customHeight="1">
      <c r="A59" s="30" t="s">
        <v>524</v>
      </c>
      <c r="B59" s="73"/>
      <c r="C59" s="129"/>
      <c r="D59" s="109"/>
      <c r="E59" s="109"/>
      <c r="F59" s="109"/>
      <c r="G59" s="109"/>
      <c r="H59" s="109"/>
      <c r="I59" s="109"/>
      <c r="J59" s="75">
        <f t="shared" si="15"/>
        <v>0</v>
      </c>
      <c r="K59" s="75">
        <f t="shared" si="16"/>
        <v>0</v>
      </c>
      <c r="L59" s="109"/>
      <c r="M59" s="109"/>
      <c r="N59" s="127"/>
    </row>
    <row r="60" spans="1:14" ht="12.75" customHeight="1">
      <c r="A60" s="30" t="s">
        <v>525</v>
      </c>
      <c r="B60" s="73"/>
      <c r="C60" s="129"/>
      <c r="D60" s="109"/>
      <c r="E60" s="109"/>
      <c r="F60" s="109"/>
      <c r="G60" s="109"/>
      <c r="H60" s="109"/>
      <c r="I60" s="109"/>
      <c r="J60" s="75">
        <f t="shared" si="15"/>
        <v>0</v>
      </c>
      <c r="K60" s="75">
        <f t="shared" si="16"/>
        <v>0</v>
      </c>
      <c r="L60" s="109"/>
      <c r="M60" s="109"/>
      <c r="N60" s="127"/>
    </row>
    <row r="61" spans="1:14" ht="12.75" customHeight="1">
      <c r="A61" s="30" t="s">
        <v>526</v>
      </c>
      <c r="B61" s="73"/>
      <c r="C61" s="129">
        <v>12068837</v>
      </c>
      <c r="D61" s="109"/>
      <c r="E61" s="109"/>
      <c r="F61" s="109"/>
      <c r="G61" s="109"/>
      <c r="H61" s="109"/>
      <c r="I61" s="109"/>
      <c r="J61" s="75">
        <f t="shared" si="15"/>
        <v>0</v>
      </c>
      <c r="K61" s="75">
        <f t="shared" si="16"/>
        <v>12068837</v>
      </c>
      <c r="L61" s="109">
        <v>12660210</v>
      </c>
      <c r="M61" s="109">
        <v>13280560</v>
      </c>
      <c r="N61" s="127"/>
    </row>
    <row r="62" spans="1:14" ht="12.75" customHeight="1">
      <c r="A62" s="30" t="s">
        <v>527</v>
      </c>
      <c r="B62" s="73"/>
      <c r="C62" s="129"/>
      <c r="D62" s="109"/>
      <c r="E62" s="109"/>
      <c r="F62" s="109"/>
      <c r="G62" s="109"/>
      <c r="H62" s="109"/>
      <c r="I62" s="109"/>
      <c r="J62" s="75">
        <f t="shared" si="15"/>
        <v>0</v>
      </c>
      <c r="K62" s="75">
        <f t="shared" si="16"/>
        <v>0</v>
      </c>
      <c r="L62" s="109"/>
      <c r="M62" s="109"/>
      <c r="N62" s="127"/>
    </row>
    <row r="63" spans="1:14" ht="12.75" customHeight="1">
      <c r="A63" s="30" t="s">
        <v>528</v>
      </c>
      <c r="B63" s="73"/>
      <c r="C63" s="129"/>
      <c r="D63" s="109"/>
      <c r="E63" s="109"/>
      <c r="F63" s="109"/>
      <c r="G63" s="109"/>
      <c r="H63" s="109"/>
      <c r="I63" s="109"/>
      <c r="J63" s="75">
        <f t="shared" si="15"/>
        <v>0</v>
      </c>
      <c r="K63" s="75">
        <f t="shared" si="16"/>
        <v>0</v>
      </c>
      <c r="L63" s="109"/>
      <c r="M63" s="109"/>
      <c r="N63" s="127"/>
    </row>
    <row r="64" spans="1:14" ht="12.75" customHeight="1">
      <c r="A64" s="30" t="s">
        <v>529</v>
      </c>
      <c r="B64" s="73"/>
      <c r="C64" s="129"/>
      <c r="D64" s="109"/>
      <c r="E64" s="109"/>
      <c r="F64" s="109"/>
      <c r="G64" s="109"/>
      <c r="H64" s="109"/>
      <c r="I64" s="109"/>
      <c r="J64" s="75">
        <f t="shared" si="15"/>
        <v>0</v>
      </c>
      <c r="K64" s="75">
        <f t="shared" si="16"/>
        <v>0</v>
      </c>
      <c r="L64" s="109"/>
      <c r="M64" s="109"/>
      <c r="N64" s="127"/>
    </row>
    <row r="65" spans="1:14" ht="12.75" customHeight="1">
      <c r="A65" s="128" t="s">
        <v>673</v>
      </c>
      <c r="B65" s="73"/>
      <c r="C65" s="129">
        <v>563521</v>
      </c>
      <c r="D65" s="109"/>
      <c r="E65" s="109"/>
      <c r="F65" s="109"/>
      <c r="G65" s="109"/>
      <c r="H65" s="109"/>
      <c r="I65" s="109"/>
      <c r="J65" s="75">
        <f t="shared" si="15"/>
        <v>0</v>
      </c>
      <c r="K65" s="75">
        <f t="shared" si="16"/>
        <v>563521</v>
      </c>
      <c r="L65" s="109">
        <v>591134</v>
      </c>
      <c r="M65" s="109">
        <v>620099</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c r="A68" s="838"/>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 t="shared" si="18"/>
        <v>0</v>
      </c>
      <c r="L71" s="140">
        <f t="shared" si="18"/>
        <v>0</v>
      </c>
      <c r="M71" s="141">
        <f t="shared" si="18"/>
        <v>0</v>
      </c>
      <c r="N71" s="127"/>
    </row>
    <row r="72" spans="1:14" ht="12.75" customHeight="1">
      <c r="A72" s="838"/>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c r="A76" s="30" t="s">
        <v>530</v>
      </c>
      <c r="B76" s="73"/>
      <c r="C76" s="839"/>
      <c r="D76" s="840"/>
      <c r="E76" s="840"/>
      <c r="F76" s="840"/>
      <c r="G76" s="840"/>
      <c r="H76" s="840"/>
      <c r="I76" s="840"/>
      <c r="J76" s="140">
        <f>SUM(E76:I76)</f>
        <v>0</v>
      </c>
      <c r="K76" s="140">
        <f>IF(D76=0,C76+J76,D76+J76)</f>
        <v>0</v>
      </c>
      <c r="L76" s="840"/>
      <c r="M76" s="841"/>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5.5" customHeight="1">
      <c r="A79" s="890" t="s">
        <v>1361</v>
      </c>
      <c r="B79" s="155">
        <v>1</v>
      </c>
      <c r="C79" s="887">
        <f t="shared" ref="C79:I79" si="20">C8+C29+C45+C49+C53+C75+C67+C71</f>
        <v>100111875</v>
      </c>
      <c r="D79" s="888">
        <f t="shared" si="20"/>
        <v>0</v>
      </c>
      <c r="E79" s="888">
        <f t="shared" si="20"/>
        <v>0</v>
      </c>
      <c r="F79" s="888">
        <f t="shared" si="20"/>
        <v>0</v>
      </c>
      <c r="G79" s="888">
        <f t="shared" si="20"/>
        <v>0</v>
      </c>
      <c r="H79" s="888">
        <f t="shared" si="20"/>
        <v>0</v>
      </c>
      <c r="I79" s="888">
        <f t="shared" si="20"/>
        <v>0</v>
      </c>
      <c r="J79" s="888">
        <f>J8+J29+J45+J49+J53+J71+J75</f>
        <v>0</v>
      </c>
      <c r="K79" s="888">
        <f>K8+K29+K45+K49+K53+K71+K75</f>
        <v>100111875</v>
      </c>
      <c r="L79" s="888">
        <f>L8+L29+L45+L49+L53+L75+L67+L71</f>
        <v>105017357</v>
      </c>
      <c r="M79" s="889">
        <f>M8+M29+M45+M49+M53+M75+M67+M71</f>
        <v>110163207</v>
      </c>
      <c r="N79" s="127"/>
    </row>
    <row r="80" spans="1:14" ht="12.75" customHeight="1">
      <c r="A80" s="520"/>
      <c r="B80" s="120"/>
      <c r="C80" s="521"/>
      <c r="D80" s="521"/>
      <c r="E80" s="521"/>
      <c r="F80" s="521"/>
      <c r="G80" s="521"/>
      <c r="H80" s="521"/>
      <c r="I80" s="521"/>
      <c r="J80" s="521"/>
      <c r="K80" s="521"/>
      <c r="L80" s="521"/>
      <c r="M80" s="521"/>
      <c r="N80" s="127"/>
    </row>
    <row r="81" spans="1:14" ht="12.75" customHeight="1">
      <c r="A81" s="879" t="s">
        <v>520</v>
      </c>
      <c r="B81" s="311">
        <v>18</v>
      </c>
      <c r="C81" s="880">
        <f t="shared" ref="C81:I81" si="21">SUM(C82:C85)</f>
        <v>0</v>
      </c>
      <c r="D81" s="881">
        <f t="shared" si="21"/>
        <v>0</v>
      </c>
      <c r="E81" s="881">
        <f t="shared" si="21"/>
        <v>0</v>
      </c>
      <c r="F81" s="881">
        <f t="shared" si="21"/>
        <v>0</v>
      </c>
      <c r="G81" s="881">
        <f t="shared" si="21"/>
        <v>0</v>
      </c>
      <c r="H81" s="881">
        <f t="shared" si="21"/>
        <v>0</v>
      </c>
      <c r="I81" s="881">
        <f t="shared" si="21"/>
        <v>0</v>
      </c>
      <c r="J81" s="881">
        <f>SUM(E81:I81)</f>
        <v>0</v>
      </c>
      <c r="K81" s="881">
        <f>IF(D81=0,C81+J81,D81+J81)</f>
        <v>0</v>
      </c>
      <c r="L81" s="881">
        <f>SUM(L82:L85)</f>
        <v>0</v>
      </c>
      <c r="M81" s="882">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5" t="s">
        <v>1362</v>
      </c>
      <c r="B87" s="779"/>
      <c r="C87" s="782"/>
      <c r="D87" s="782"/>
      <c r="E87" s="783"/>
      <c r="F87" s="783"/>
      <c r="G87" s="783"/>
      <c r="H87" s="783"/>
      <c r="I87" s="78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158" t="s">
        <v>535</v>
      </c>
      <c r="B90" s="159"/>
      <c r="C90" s="94"/>
      <c r="D90" s="94"/>
      <c r="E90" s="94"/>
      <c r="F90" s="94"/>
      <c r="G90" s="94"/>
      <c r="H90" s="94"/>
      <c r="I90" s="94"/>
      <c r="J90" s="94"/>
      <c r="K90" s="94"/>
      <c r="L90" s="94"/>
      <c r="M90" s="94"/>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4" t="s">
        <v>1104</v>
      </c>
      <c r="B93" s="1324"/>
      <c r="C93" s="1324"/>
      <c r="D93" s="1324"/>
      <c r="E93" s="1324"/>
      <c r="F93" s="1324"/>
      <c r="G93" s="1324"/>
      <c r="H93" s="1324"/>
      <c r="I93" s="1324"/>
      <c r="J93" s="1324"/>
      <c r="K93" s="1324"/>
      <c r="L93" s="1324"/>
      <c r="M93" s="1324"/>
      <c r="N93" s="127"/>
    </row>
    <row r="94" spans="1:14" ht="12.75" customHeight="1">
      <c r="A94" s="1324" t="s">
        <v>1110</v>
      </c>
      <c r="B94" s="1324"/>
      <c r="C94" s="1324"/>
      <c r="D94" s="1324"/>
      <c r="E94" s="1324"/>
      <c r="F94" s="1324"/>
      <c r="G94" s="1324"/>
      <c r="H94" s="1324"/>
      <c r="I94" s="1324"/>
      <c r="J94" s="1324"/>
      <c r="K94" s="855"/>
      <c r="L94" s="855"/>
      <c r="M94" s="855"/>
      <c r="N94" s="127"/>
    </row>
    <row r="95" spans="1:14" ht="12.75" customHeight="1">
      <c r="A95" s="1324" t="s">
        <v>1111</v>
      </c>
      <c r="B95" s="1324"/>
      <c r="C95" s="1324"/>
      <c r="D95" s="1324"/>
      <c r="E95" s="1324"/>
      <c r="F95" s="1324"/>
      <c r="G95" s="1324"/>
      <c r="H95" s="1324"/>
      <c r="I95" s="1324"/>
      <c r="J95" s="1324"/>
      <c r="K95" s="855"/>
      <c r="L95" s="855"/>
      <c r="M95" s="855"/>
      <c r="N95" s="127"/>
    </row>
    <row r="96" spans="1:14" ht="12.75" customHeight="1">
      <c r="A96" s="1324" t="s">
        <v>1159</v>
      </c>
      <c r="B96" s="1324"/>
      <c r="C96" s="1324"/>
      <c r="D96" s="1324"/>
      <c r="E96" s="1324"/>
      <c r="F96" s="1324"/>
      <c r="G96" s="1324"/>
      <c r="H96" s="1324"/>
      <c r="I96" s="1324"/>
      <c r="J96" s="1324"/>
      <c r="K96" s="1324"/>
      <c r="L96" s="1324"/>
      <c r="M96" s="1324"/>
      <c r="N96" s="127"/>
    </row>
    <row r="97" spans="1:14" ht="12.75" customHeight="1">
      <c r="A97" s="158" t="s">
        <v>1160</v>
      </c>
      <c r="B97" s="159"/>
      <c r="C97" s="94"/>
      <c r="D97" s="94"/>
      <c r="E97" s="94"/>
      <c r="F97" s="94"/>
      <c r="G97" s="94"/>
      <c r="H97" s="94"/>
      <c r="I97" s="94"/>
      <c r="J97" s="94"/>
      <c r="K97" s="94"/>
      <c r="L97" s="94"/>
      <c r="M97" s="94"/>
      <c r="N97" s="127"/>
    </row>
    <row r="98" spans="1:14" ht="12.75" customHeight="1">
      <c r="A98" s="1324" t="s">
        <v>1161</v>
      </c>
      <c r="B98" s="1324"/>
      <c r="C98" s="1324"/>
      <c r="D98" s="1324"/>
      <c r="E98" s="1324"/>
      <c r="F98" s="1324"/>
      <c r="G98" s="1324"/>
      <c r="H98" s="1324"/>
      <c r="I98" s="1324"/>
      <c r="J98" s="1324"/>
      <c r="K98" s="1324"/>
      <c r="L98" s="1324"/>
      <c r="M98" s="1324"/>
      <c r="N98" s="127"/>
    </row>
    <row r="99" spans="1:14" ht="12.75" customHeight="1">
      <c r="A99" s="158" t="s">
        <v>1162</v>
      </c>
      <c r="B99" s="159"/>
      <c r="C99" s="94"/>
      <c r="D99" s="94"/>
      <c r="E99" s="94"/>
      <c r="F99" s="94"/>
      <c r="G99" s="94"/>
      <c r="H99" s="94"/>
      <c r="I99" s="94"/>
      <c r="J99" s="94"/>
      <c r="K99" s="94"/>
      <c r="L99" s="94"/>
      <c r="M99" s="94"/>
      <c r="N99" s="127"/>
    </row>
    <row r="100" spans="1:14" ht="12.75" customHeight="1">
      <c r="A100" s="1324" t="s">
        <v>1163</v>
      </c>
      <c r="B100" s="1324"/>
      <c r="C100" s="1324"/>
      <c r="D100" s="1324"/>
      <c r="E100" s="1324"/>
      <c r="F100" s="1324"/>
      <c r="G100" s="1324"/>
      <c r="H100" s="1324"/>
      <c r="I100" s="1324"/>
      <c r="J100" s="1324"/>
      <c r="K100" s="1324"/>
      <c r="L100" s="1324"/>
      <c r="M100" s="1324"/>
      <c r="N100" s="127"/>
    </row>
    <row r="101" spans="1:14" ht="12.75" customHeight="1">
      <c r="A101" s="856" t="s">
        <v>1454</v>
      </c>
      <c r="B101" s="811"/>
      <c r="C101" s="811"/>
      <c r="D101" s="811"/>
      <c r="E101" s="811"/>
      <c r="F101" s="811"/>
      <c r="G101" s="811"/>
      <c r="H101" s="811"/>
      <c r="I101" s="811"/>
      <c r="J101" s="811"/>
      <c r="K101" s="811"/>
      <c r="L101" s="811"/>
      <c r="M101" s="811"/>
      <c r="N101" s="127"/>
    </row>
    <row r="102" spans="1:14" ht="12.75" customHeight="1">
      <c r="A102" s="856" t="s">
        <v>1451</v>
      </c>
      <c r="B102" s="811"/>
      <c r="C102" s="811"/>
      <c r="D102" s="811"/>
      <c r="E102" s="811"/>
      <c r="F102" s="811"/>
      <c r="G102" s="811"/>
      <c r="H102" s="811"/>
      <c r="I102" s="811"/>
      <c r="J102" s="811"/>
      <c r="K102" s="811"/>
      <c r="L102" s="811"/>
      <c r="M102" s="811"/>
      <c r="N102" s="127"/>
    </row>
    <row r="103" spans="1:14" ht="12.75" customHeight="1">
      <c r="A103" s="856" t="s">
        <v>1452</v>
      </c>
      <c r="B103" s="811"/>
      <c r="C103" s="811"/>
      <c r="D103" s="811"/>
      <c r="E103" s="811"/>
      <c r="F103" s="811"/>
      <c r="G103" s="811"/>
      <c r="H103" s="811"/>
      <c r="I103" s="811"/>
      <c r="J103" s="811"/>
      <c r="K103" s="811"/>
      <c r="L103" s="811"/>
      <c r="M103" s="811"/>
      <c r="N103" s="127"/>
    </row>
    <row r="104" spans="1:14" ht="12.75" customHeight="1">
      <c r="A104" s="856" t="s">
        <v>1456</v>
      </c>
      <c r="B104" s="811"/>
      <c r="C104" s="811"/>
      <c r="D104" s="811"/>
      <c r="E104" s="811"/>
      <c r="F104" s="811"/>
      <c r="G104" s="811"/>
      <c r="H104" s="811"/>
      <c r="I104" s="811"/>
      <c r="J104" s="811"/>
      <c r="K104" s="811"/>
      <c r="L104" s="811"/>
      <c r="M104" s="811"/>
      <c r="N104" s="127"/>
    </row>
    <row r="105" spans="1:14" ht="11.25" customHeight="1">
      <c r="A105" s="349"/>
      <c r="B105" s="810"/>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812" t="s">
        <v>726</v>
      </c>
      <c r="B107" s="159"/>
      <c r="C107" s="813">
        <f>C79-'B5-Capex'!C65</f>
        <v>-65517972</v>
      </c>
      <c r="D107" s="813"/>
      <c r="E107" s="813"/>
      <c r="F107" s="813"/>
      <c r="G107" s="813"/>
      <c r="H107" s="813"/>
      <c r="I107" s="813"/>
      <c r="J107" s="813"/>
      <c r="K107" s="813"/>
      <c r="L107" s="813"/>
      <c r="M107" s="813">
        <f>M79-'B5-Capex'!M65</f>
        <v>-106089640</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2:A4"/>
    <mergeCell ref="B2:B4"/>
    <mergeCell ref="C2:K2"/>
    <mergeCell ref="A93:M93"/>
    <mergeCell ref="A100:M100"/>
    <mergeCell ref="A94:J94"/>
    <mergeCell ref="A95:J95"/>
    <mergeCell ref="A96:M96"/>
    <mergeCell ref="A98:M98"/>
  </mergeCells>
  <phoneticPr fontId="17"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9" enableFormatConditionsCalculation="0">
    <tabColor rgb="FF92D050"/>
  </sheetPr>
  <dimension ref="A1:V308"/>
  <sheetViews>
    <sheetView workbookViewId="0">
      <selection activeCell="B28" sqref="B28"/>
    </sheetView>
  </sheetViews>
  <sheetFormatPr defaultRowHeight="11.25"/>
  <cols>
    <col min="1" max="1" width="28.85546875" style="674" bestFit="1" customWidth="1"/>
    <col min="2" max="2" width="25.85546875" style="674" customWidth="1"/>
    <col min="3" max="4" width="41.85546875" style="674" bestFit="1" customWidth="1"/>
    <col min="5" max="14" width="41.85546875" style="674" customWidth="1"/>
    <col min="15" max="15" width="43.5703125" style="674" bestFit="1" customWidth="1"/>
    <col min="16" max="16" width="1.28515625" style="674" customWidth="1"/>
    <col min="17" max="17" width="9.140625" style="674"/>
    <col min="18" max="19" width="33.42578125" style="674" bestFit="1" customWidth="1"/>
    <col min="20" max="20" width="30.42578125" style="674" bestFit="1" customWidth="1"/>
    <col min="21" max="21" width="27.7109375" style="674" customWidth="1"/>
    <col min="22" max="16384" width="9.140625" style="674"/>
  </cols>
  <sheetData>
    <row r="1" spans="1:22" s="1" customFormat="1">
      <c r="A1" s="667" t="s">
        <v>248</v>
      </c>
      <c r="B1" s="668">
        <v>2007</v>
      </c>
      <c r="C1" s="668">
        <v>2008</v>
      </c>
      <c r="D1" s="668">
        <v>2009</v>
      </c>
      <c r="E1" s="669">
        <v>2010</v>
      </c>
      <c r="F1" s="669">
        <v>2011</v>
      </c>
      <c r="G1" s="669">
        <v>2012</v>
      </c>
      <c r="H1" s="669">
        <v>2013</v>
      </c>
      <c r="I1" s="669">
        <v>2014</v>
      </c>
      <c r="J1" s="669">
        <v>2015</v>
      </c>
      <c r="K1" s="669">
        <v>2016</v>
      </c>
      <c r="L1" s="669">
        <v>2017</v>
      </c>
      <c r="M1" s="669">
        <v>2018</v>
      </c>
      <c r="N1" s="669">
        <v>2019</v>
      </c>
      <c r="O1" s="669">
        <v>2020</v>
      </c>
      <c r="P1" s="670"/>
      <c r="Q1" s="671" t="s">
        <v>249</v>
      </c>
      <c r="R1" s="671" t="s">
        <v>250</v>
      </c>
      <c r="S1" s="671" t="s">
        <v>251</v>
      </c>
      <c r="T1" s="671" t="s">
        <v>252</v>
      </c>
      <c r="U1" s="671" t="s">
        <v>253</v>
      </c>
      <c r="V1" s="1" t="s">
        <v>254</v>
      </c>
    </row>
    <row r="2" spans="1:22">
      <c r="A2" s="672" t="str">
        <f>'Template names'!C2</f>
        <v>Prior year -1</v>
      </c>
      <c r="B2" s="673" t="s">
        <v>255</v>
      </c>
      <c r="C2" s="673" t="s">
        <v>256</v>
      </c>
      <c r="D2" s="673" t="s">
        <v>257</v>
      </c>
      <c r="E2" s="676" t="str">
        <f t="shared" ref="E2:O2" si="0">E1-1&amp;"/"&amp;RIGHT(E1,2)-0</f>
        <v>2009/10</v>
      </c>
      <c r="F2" s="676" t="str">
        <f t="shared" si="0"/>
        <v>2010/11</v>
      </c>
      <c r="G2" s="676" t="str">
        <f t="shared" si="0"/>
        <v>2011/12</v>
      </c>
      <c r="H2" s="676" t="str">
        <f t="shared" si="0"/>
        <v>2012/13</v>
      </c>
      <c r="I2" s="676" t="str">
        <f t="shared" si="0"/>
        <v>2013/14</v>
      </c>
      <c r="J2" s="676" t="str">
        <f t="shared" si="0"/>
        <v>2014/15</v>
      </c>
      <c r="K2" s="676" t="str">
        <f t="shared" si="0"/>
        <v>2015/16</v>
      </c>
      <c r="L2" s="676" t="str">
        <f t="shared" si="0"/>
        <v>2016/17</v>
      </c>
      <c r="M2" s="676" t="str">
        <f t="shared" si="0"/>
        <v>2017/18</v>
      </c>
      <c r="N2" s="676" t="str">
        <f t="shared" si="0"/>
        <v>2018/19</v>
      </c>
      <c r="O2" s="676" t="str">
        <f t="shared" si="0"/>
        <v>2019/20</v>
      </c>
      <c r="P2" s="673"/>
      <c r="R2" s="674" t="s">
        <v>1458</v>
      </c>
      <c r="S2" s="674" t="s">
        <v>1468</v>
      </c>
      <c r="T2" s="674" t="s">
        <v>1470</v>
      </c>
      <c r="U2" s="674" t="s">
        <v>1477</v>
      </c>
      <c r="V2" s="674" t="s">
        <v>259</v>
      </c>
    </row>
    <row r="3" spans="1:22">
      <c r="A3" s="672" t="str">
        <f>'Template names'!C3</f>
        <v>Prior year -2</v>
      </c>
      <c r="B3" s="675" t="s">
        <v>260</v>
      </c>
      <c r="C3" s="673" t="s">
        <v>255</v>
      </c>
      <c r="D3" s="673" t="s">
        <v>256</v>
      </c>
      <c r="E3" s="676" t="str">
        <f t="shared" ref="E3:O3" si="1">E1-2&amp;"/"&amp;RIGHT(E1,2)-1</f>
        <v>2008/9</v>
      </c>
      <c r="F3" s="676" t="str">
        <f t="shared" si="1"/>
        <v>2009/10</v>
      </c>
      <c r="G3" s="676" t="str">
        <f t="shared" si="1"/>
        <v>2010/11</v>
      </c>
      <c r="H3" s="676" t="str">
        <f t="shared" si="1"/>
        <v>2011/12</v>
      </c>
      <c r="I3" s="676" t="str">
        <f t="shared" si="1"/>
        <v>2012/13</v>
      </c>
      <c r="J3" s="676" t="str">
        <f t="shared" si="1"/>
        <v>2013/14</v>
      </c>
      <c r="K3" s="676" t="str">
        <f t="shared" si="1"/>
        <v>2014/15</v>
      </c>
      <c r="L3" s="676" t="str">
        <f t="shared" si="1"/>
        <v>2015/16</v>
      </c>
      <c r="M3" s="676" t="str">
        <f t="shared" si="1"/>
        <v>2016/17</v>
      </c>
      <c r="N3" s="676" t="str">
        <f t="shared" si="1"/>
        <v>2017/18</v>
      </c>
      <c r="O3" s="676" t="str">
        <f t="shared" si="1"/>
        <v>2018/19</v>
      </c>
      <c r="P3" s="673"/>
      <c r="R3" s="674" t="s">
        <v>1459</v>
      </c>
      <c r="S3" s="674" t="s">
        <v>1469</v>
      </c>
      <c r="T3" s="674" t="s">
        <v>1471</v>
      </c>
      <c r="U3" s="674" t="s">
        <v>1478</v>
      </c>
      <c r="V3" s="674" t="s">
        <v>582</v>
      </c>
    </row>
    <row r="4" spans="1:22">
      <c r="A4" s="672" t="str">
        <f>'Template names'!C4</f>
        <v>Prior year -3</v>
      </c>
      <c r="B4" s="675" t="s">
        <v>262</v>
      </c>
      <c r="C4" s="673" t="s">
        <v>260</v>
      </c>
      <c r="D4" s="673" t="s">
        <v>255</v>
      </c>
      <c r="E4" s="676" t="str">
        <f t="shared" ref="E4:O4" si="2">E1-3&amp;"/"&amp;RIGHT(E1,2)-2</f>
        <v>2007/8</v>
      </c>
      <c r="F4" s="676" t="str">
        <f t="shared" si="2"/>
        <v>2008/9</v>
      </c>
      <c r="G4" s="676" t="str">
        <f t="shared" si="2"/>
        <v>2009/10</v>
      </c>
      <c r="H4" s="676" t="str">
        <f t="shared" si="2"/>
        <v>2010/11</v>
      </c>
      <c r="I4" s="676" t="str">
        <f t="shared" si="2"/>
        <v>2011/12</v>
      </c>
      <c r="J4" s="676" t="str">
        <f t="shared" si="2"/>
        <v>2012/13</v>
      </c>
      <c r="K4" s="676" t="str">
        <f t="shared" si="2"/>
        <v>2013/14</v>
      </c>
      <c r="L4" s="676" t="str">
        <f t="shared" si="2"/>
        <v>2014/15</v>
      </c>
      <c r="M4" s="676" t="str">
        <f t="shared" si="2"/>
        <v>2015/16</v>
      </c>
      <c r="N4" s="676" t="str">
        <f t="shared" si="2"/>
        <v>2016/17</v>
      </c>
      <c r="O4" s="676" t="str">
        <f t="shared" si="2"/>
        <v>2017/18</v>
      </c>
      <c r="P4" s="673"/>
      <c r="R4" s="674" t="s">
        <v>1460</v>
      </c>
      <c r="S4" s="674" t="s">
        <v>662</v>
      </c>
      <c r="T4" s="674" t="s">
        <v>1472</v>
      </c>
      <c r="U4" s="674" t="s">
        <v>663</v>
      </c>
    </row>
    <row r="5" spans="1:22">
      <c r="A5" s="672" t="str">
        <f>'Template names'!C7</f>
        <v>MTREF header name</v>
      </c>
      <c r="B5" s="673" t="s">
        <v>263</v>
      </c>
      <c r="C5" s="673" t="s">
        <v>264</v>
      </c>
      <c r="D5" s="673" t="s">
        <v>265</v>
      </c>
      <c r="E5" s="676" t="str">
        <f t="shared" ref="E5:O5" si="3">E1&amp;"/"&amp;RIGHT(E1,2)+1&amp;" Medium Term Revenue &amp; Expenditure Framework"</f>
        <v>2010/11 Medium Term Revenue &amp; Expenditure Framework</v>
      </c>
      <c r="F5" s="676" t="str">
        <f t="shared" si="3"/>
        <v>2011/12 Medium Term Revenue &amp; Expenditure Framework</v>
      </c>
      <c r="G5" s="676" t="str">
        <f t="shared" si="3"/>
        <v>2012/13 Medium Term Revenue &amp; Expenditure Framework</v>
      </c>
      <c r="H5" s="676" t="str">
        <f t="shared" si="3"/>
        <v>2013/14 Medium Term Revenue &amp; Expenditure Framework</v>
      </c>
      <c r="I5" s="676" t="str">
        <f t="shared" si="3"/>
        <v>2014/15 Medium Term Revenue &amp; Expenditure Framework</v>
      </c>
      <c r="J5" s="676" t="str">
        <f t="shared" si="3"/>
        <v>2015/16 Medium Term Revenue &amp; Expenditure Framework</v>
      </c>
      <c r="K5" s="676" t="str">
        <f t="shared" si="3"/>
        <v>2016/17 Medium Term Revenue &amp; Expenditure Framework</v>
      </c>
      <c r="L5" s="676" t="str">
        <f t="shared" si="3"/>
        <v>2017/18 Medium Term Revenue &amp; Expenditure Framework</v>
      </c>
      <c r="M5" s="676" t="str">
        <f t="shared" si="3"/>
        <v>2018/19 Medium Term Revenue &amp; Expenditure Framework</v>
      </c>
      <c r="N5" s="676" t="str">
        <f t="shared" si="3"/>
        <v>2019/20 Medium Term Revenue &amp; Expenditure Framework</v>
      </c>
      <c r="O5" s="676" t="str">
        <f t="shared" si="3"/>
        <v>2020/21 Medium Term Revenue &amp; Expenditure Framework</v>
      </c>
      <c r="P5" s="673"/>
      <c r="R5" s="674" t="s">
        <v>266</v>
      </c>
      <c r="S5" s="674" t="s">
        <v>267</v>
      </c>
      <c r="T5" s="674" t="s">
        <v>1473</v>
      </c>
      <c r="U5" s="674" t="s">
        <v>1479</v>
      </c>
    </row>
    <row r="6" spans="1:22">
      <c r="A6" s="672" t="str">
        <f>'Template names'!C6</f>
        <v>Approved budget year</v>
      </c>
      <c r="B6" s="673" t="s">
        <v>256</v>
      </c>
      <c r="C6" s="673" t="s">
        <v>257</v>
      </c>
      <c r="D6" s="673" t="s">
        <v>258</v>
      </c>
      <c r="E6" s="677" t="str">
        <f t="shared" ref="E6:O6" si="4">E1&amp;"/"&amp;RIGHT(E1,2)+1</f>
        <v>2010/11</v>
      </c>
      <c r="F6" s="677" t="str">
        <f t="shared" si="4"/>
        <v>2011/12</v>
      </c>
      <c r="G6" s="677" t="str">
        <f t="shared" si="4"/>
        <v>2012/13</v>
      </c>
      <c r="H6" s="677" t="str">
        <f t="shared" si="4"/>
        <v>2013/14</v>
      </c>
      <c r="I6" s="677" t="str">
        <f t="shared" si="4"/>
        <v>2014/15</v>
      </c>
      <c r="J6" s="677" t="str">
        <f t="shared" si="4"/>
        <v>2015/16</v>
      </c>
      <c r="K6" s="677" t="str">
        <f t="shared" si="4"/>
        <v>2016/17</v>
      </c>
      <c r="L6" s="677" t="str">
        <f t="shared" si="4"/>
        <v>2017/18</v>
      </c>
      <c r="M6" s="677" t="str">
        <f t="shared" si="4"/>
        <v>2018/19</v>
      </c>
      <c r="N6" s="677" t="str">
        <f t="shared" si="4"/>
        <v>2019/20</v>
      </c>
      <c r="O6" s="677" t="str">
        <f t="shared" si="4"/>
        <v>2020/21</v>
      </c>
      <c r="P6" s="673"/>
      <c r="R6" s="674" t="s">
        <v>1461</v>
      </c>
      <c r="T6" s="674" t="s">
        <v>1474</v>
      </c>
      <c r="U6" s="674" t="s">
        <v>1480</v>
      </c>
    </row>
    <row r="7" spans="1:22">
      <c r="A7" s="672" t="str">
        <f>'Template names'!C16</f>
        <v>1st year of MTREF</v>
      </c>
      <c r="B7" s="673" t="s">
        <v>268</v>
      </c>
      <c r="C7" s="673" t="s">
        <v>269</v>
      </c>
      <c r="D7" s="673" t="s">
        <v>270</v>
      </c>
      <c r="E7" s="676" t="str">
        <f t="shared" ref="E7:O7" si="5">"Budget Year "&amp;E1&amp;"/"&amp;RIGHT(E1,2)+1</f>
        <v>Budget Year 2010/11</v>
      </c>
      <c r="F7" s="676" t="str">
        <f t="shared" si="5"/>
        <v>Budget Year 2011/12</v>
      </c>
      <c r="G7" s="676" t="str">
        <f t="shared" si="5"/>
        <v>Budget Year 2012/13</v>
      </c>
      <c r="H7" s="676" t="str">
        <f t="shared" si="5"/>
        <v>Budget Year 2013/14</v>
      </c>
      <c r="I7" s="676" t="str">
        <f t="shared" si="5"/>
        <v>Budget Year 2014/15</v>
      </c>
      <c r="J7" s="676" t="str">
        <f t="shared" si="5"/>
        <v>Budget Year 2015/16</v>
      </c>
      <c r="K7" s="676" t="str">
        <f t="shared" si="5"/>
        <v>Budget Year 2016/17</v>
      </c>
      <c r="L7" s="676" t="str">
        <f t="shared" si="5"/>
        <v>Budget Year 2017/18</v>
      </c>
      <c r="M7" s="676" t="str">
        <f t="shared" si="5"/>
        <v>Budget Year 2018/19</v>
      </c>
      <c r="N7" s="676" t="str">
        <f t="shared" si="5"/>
        <v>Budget Year 2019/20</v>
      </c>
      <c r="O7" s="676" t="str">
        <f t="shared" si="5"/>
        <v>Budget Year 2020/21</v>
      </c>
      <c r="P7" s="673"/>
      <c r="R7" s="674" t="s">
        <v>1462</v>
      </c>
      <c r="T7" s="674" t="s">
        <v>1475</v>
      </c>
      <c r="U7" s="674" t="s">
        <v>1481</v>
      </c>
    </row>
    <row r="8" spans="1:22">
      <c r="A8" s="672" t="str">
        <f>'Template names'!C17</f>
        <v>2nd year of MTREF</v>
      </c>
      <c r="B8" s="673" t="s">
        <v>271</v>
      </c>
      <c r="C8" s="673" t="s">
        <v>272</v>
      </c>
      <c r="D8" s="673" t="s">
        <v>273</v>
      </c>
      <c r="E8" s="676" t="str">
        <f t="shared" ref="E8:O8" si="6">"Budget Year +1 "&amp;E1+1&amp;"/"&amp;RIGHT(E1,2)+2</f>
        <v>Budget Year +1 2011/12</v>
      </c>
      <c r="F8" s="676" t="str">
        <f t="shared" si="6"/>
        <v>Budget Year +1 2012/13</v>
      </c>
      <c r="G8" s="676" t="str">
        <f t="shared" si="6"/>
        <v>Budget Year +1 2013/14</v>
      </c>
      <c r="H8" s="676" t="str">
        <f t="shared" si="6"/>
        <v>Budget Year +1 2014/15</v>
      </c>
      <c r="I8" s="676" t="str">
        <f t="shared" si="6"/>
        <v>Budget Year +1 2015/16</v>
      </c>
      <c r="J8" s="676" t="str">
        <f t="shared" si="6"/>
        <v>Budget Year +1 2016/17</v>
      </c>
      <c r="K8" s="676" t="str">
        <f t="shared" si="6"/>
        <v>Budget Year +1 2017/18</v>
      </c>
      <c r="L8" s="676" t="str">
        <f t="shared" si="6"/>
        <v>Budget Year +1 2018/19</v>
      </c>
      <c r="M8" s="676" t="str">
        <f t="shared" si="6"/>
        <v>Budget Year +1 2019/20</v>
      </c>
      <c r="N8" s="676" t="str">
        <f t="shared" si="6"/>
        <v>Budget Year +1 2020/21</v>
      </c>
      <c r="O8" s="676" t="str">
        <f t="shared" si="6"/>
        <v>Budget Year +1 2021/22</v>
      </c>
      <c r="P8" s="673"/>
      <c r="R8" s="674" t="s">
        <v>1463</v>
      </c>
      <c r="T8" s="674" t="s">
        <v>1476</v>
      </c>
      <c r="U8" s="674" t="s">
        <v>267</v>
      </c>
    </row>
    <row r="9" spans="1:22">
      <c r="A9" s="672" t="str">
        <f>'Template names'!C18</f>
        <v>3rd year of MTREF</v>
      </c>
      <c r="B9" s="673" t="s">
        <v>274</v>
      </c>
      <c r="C9" s="673" t="s">
        <v>275</v>
      </c>
      <c r="D9" s="673" t="s">
        <v>276</v>
      </c>
      <c r="E9" s="676" t="str">
        <f t="shared" ref="E9:O9" si="7">"Budget Year +2 "&amp;E1+2&amp;"/"&amp;RIGHT(E1,2)+3</f>
        <v>Budget Year +2 2012/13</v>
      </c>
      <c r="F9" s="676" t="str">
        <f t="shared" si="7"/>
        <v>Budget Year +2 2013/14</v>
      </c>
      <c r="G9" s="676" t="str">
        <f t="shared" si="7"/>
        <v>Budget Year +2 2014/15</v>
      </c>
      <c r="H9" s="676" t="str">
        <f t="shared" si="7"/>
        <v>Budget Year +2 2015/16</v>
      </c>
      <c r="I9" s="676" t="str">
        <f t="shared" si="7"/>
        <v>Budget Year +2 2016/17</v>
      </c>
      <c r="J9" s="676" t="str">
        <f t="shared" si="7"/>
        <v>Budget Year +2 2017/18</v>
      </c>
      <c r="K9" s="676" t="str">
        <f t="shared" si="7"/>
        <v>Budget Year +2 2018/19</v>
      </c>
      <c r="L9" s="676" t="str">
        <f t="shared" si="7"/>
        <v>Budget Year +2 2019/20</v>
      </c>
      <c r="M9" s="676" t="str">
        <f t="shared" si="7"/>
        <v>Budget Year +2 2020/21</v>
      </c>
      <c r="N9" s="676" t="str">
        <f t="shared" si="7"/>
        <v>Budget Year +2 2021/22</v>
      </c>
      <c r="O9" s="676" t="str">
        <f t="shared" si="7"/>
        <v>Budget Year +2 2022/23</v>
      </c>
      <c r="P9" s="673"/>
      <c r="R9" s="674" t="s">
        <v>1464</v>
      </c>
    </row>
    <row r="10" spans="1:22">
      <c r="A10" s="678" t="s">
        <v>277</v>
      </c>
      <c r="B10" s="679" t="s">
        <v>278</v>
      </c>
      <c r="C10" s="679" t="s">
        <v>279</v>
      </c>
      <c r="D10" s="679" t="s">
        <v>280</v>
      </c>
      <c r="E10" s="680" t="str">
        <f t="shared" ref="E10:O10" si="8">"Annual target " &amp; E1&amp;"/"&amp;RIGHT(E1,2)+1</f>
        <v>Annual target 2010/11</v>
      </c>
      <c r="F10" s="680" t="str">
        <f t="shared" si="8"/>
        <v>Annual target 2011/12</v>
      </c>
      <c r="G10" s="680" t="str">
        <f t="shared" si="8"/>
        <v>Annual target 2012/13</v>
      </c>
      <c r="H10" s="680" t="str">
        <f t="shared" si="8"/>
        <v>Annual target 2013/14</v>
      </c>
      <c r="I10" s="680" t="str">
        <f t="shared" si="8"/>
        <v>Annual target 2014/15</v>
      </c>
      <c r="J10" s="680" t="str">
        <f t="shared" si="8"/>
        <v>Annual target 2015/16</v>
      </c>
      <c r="K10" s="680" t="str">
        <f t="shared" si="8"/>
        <v>Annual target 2016/17</v>
      </c>
      <c r="L10" s="680" t="str">
        <f t="shared" si="8"/>
        <v>Annual target 2017/18</v>
      </c>
      <c r="M10" s="680" t="str">
        <f t="shared" si="8"/>
        <v>Annual target 2018/19</v>
      </c>
      <c r="N10" s="680" t="str">
        <f t="shared" si="8"/>
        <v>Annual target 2019/20</v>
      </c>
      <c r="O10" s="680" t="str">
        <f t="shared" si="8"/>
        <v>Annual target 2020/21</v>
      </c>
      <c r="P10" s="673"/>
      <c r="R10" s="674" t="s">
        <v>1465</v>
      </c>
    </row>
    <row r="11" spans="1:22" ht="18">
      <c r="A11" s="681" t="s">
        <v>281</v>
      </c>
      <c r="R11" s="674" t="s">
        <v>1466</v>
      </c>
    </row>
    <row r="12" spans="1:22">
      <c r="R12" s="674" t="s">
        <v>1467</v>
      </c>
    </row>
    <row r="15" spans="1:22">
      <c r="R15" s="671" t="s">
        <v>1560</v>
      </c>
      <c r="S15" s="671" t="s">
        <v>1561</v>
      </c>
    </row>
    <row r="17" spans="1:19">
      <c r="R17" s="674" t="s">
        <v>487</v>
      </c>
      <c r="S17" s="674" t="s">
        <v>488</v>
      </c>
    </row>
    <row r="18" spans="1:19">
      <c r="R18" s="674" t="s">
        <v>490</v>
      </c>
      <c r="S18" s="674" t="s">
        <v>489</v>
      </c>
    </row>
    <row r="19" spans="1:19">
      <c r="R19" s="674" t="s">
        <v>494</v>
      </c>
      <c r="S19" s="674" t="s">
        <v>491</v>
      </c>
    </row>
    <row r="20" spans="1:19">
      <c r="R20" s="674" t="s">
        <v>498</v>
      </c>
      <c r="S20" s="674" t="s">
        <v>492</v>
      </c>
    </row>
    <row r="21" spans="1:19">
      <c r="R21" s="674" t="s">
        <v>500</v>
      </c>
      <c r="S21" s="674" t="s">
        <v>493</v>
      </c>
    </row>
    <row r="22" spans="1:19">
      <c r="R22" s="674" t="s">
        <v>832</v>
      </c>
      <c r="S22" s="674" t="s">
        <v>495</v>
      </c>
    </row>
    <row r="23" spans="1:19">
      <c r="R23" s="674" t="s">
        <v>1562</v>
      </c>
      <c r="S23" s="674" t="s">
        <v>496</v>
      </c>
    </row>
    <row r="24" spans="1:19">
      <c r="R24" s="674" t="s">
        <v>1563</v>
      </c>
      <c r="S24" s="674" t="s">
        <v>497</v>
      </c>
    </row>
    <row r="25" spans="1:19">
      <c r="R25" s="674" t="s">
        <v>1564</v>
      </c>
      <c r="S25" s="674" t="s">
        <v>499</v>
      </c>
    </row>
    <row r="26" spans="1:19">
      <c r="R26" s="674" t="s">
        <v>1352</v>
      </c>
      <c r="S26" s="674" t="s">
        <v>1565</v>
      </c>
    </row>
    <row r="27" spans="1:19" ht="12.75">
      <c r="A27" s="846" t="s">
        <v>841</v>
      </c>
      <c r="B27" s="674">
        <v>146</v>
      </c>
      <c r="R27" s="674" t="s">
        <v>837</v>
      </c>
      <c r="S27" s="674" t="s">
        <v>501</v>
      </c>
    </row>
    <row r="28" spans="1:19">
      <c r="A28" s="674" t="s">
        <v>842</v>
      </c>
      <c r="B28" s="674" t="str">
        <f>INDEX(B29:B312,B27,1)</f>
        <v>LIM333 Greater Tzaneen</v>
      </c>
      <c r="R28" s="674" t="s">
        <v>836</v>
      </c>
      <c r="S28" s="674" t="s">
        <v>502</v>
      </c>
    </row>
    <row r="29" spans="1:19">
      <c r="B29" s="674" t="s">
        <v>843</v>
      </c>
      <c r="C29" s="674" t="s">
        <v>844</v>
      </c>
      <c r="R29" s="674" t="s">
        <v>673</v>
      </c>
      <c r="S29" s="674" t="s">
        <v>503</v>
      </c>
    </row>
    <row r="30" spans="1:19" ht="12.75">
      <c r="B30" s="864" t="s">
        <v>1596</v>
      </c>
      <c r="C30" s="1095" t="s">
        <v>848</v>
      </c>
      <c r="S30" s="674" t="s">
        <v>1566</v>
      </c>
    </row>
    <row r="31" spans="1:19" ht="12.75">
      <c r="B31" s="864" t="s">
        <v>1597</v>
      </c>
      <c r="C31" s="1096" t="s">
        <v>848</v>
      </c>
      <c r="S31" s="674" t="s">
        <v>505</v>
      </c>
    </row>
    <row r="32" spans="1:19" ht="12.75">
      <c r="B32" s="864" t="s">
        <v>891</v>
      </c>
      <c r="C32" s="1095" t="s">
        <v>848</v>
      </c>
      <c r="S32" s="674" t="s">
        <v>506</v>
      </c>
    </row>
    <row r="33" spans="2:19" ht="12.75">
      <c r="B33" s="864" t="s">
        <v>892</v>
      </c>
      <c r="C33" s="1095" t="s">
        <v>848</v>
      </c>
      <c r="S33" s="674" t="s">
        <v>507</v>
      </c>
    </row>
    <row r="34" spans="2:19" ht="12.75">
      <c r="B34" s="864" t="s">
        <v>893</v>
      </c>
      <c r="C34" s="1095" t="s">
        <v>848</v>
      </c>
      <c r="S34" s="674" t="s">
        <v>508</v>
      </c>
    </row>
    <row r="35" spans="2:19" ht="12.75">
      <c r="B35" s="864" t="s">
        <v>894</v>
      </c>
      <c r="C35" s="1095" t="s">
        <v>848</v>
      </c>
      <c r="S35" s="674" t="s">
        <v>509</v>
      </c>
    </row>
    <row r="36" spans="2:19" ht="12.75">
      <c r="B36" s="864" t="s">
        <v>895</v>
      </c>
      <c r="C36" s="1095" t="s">
        <v>848</v>
      </c>
      <c r="S36" s="674" t="s">
        <v>510</v>
      </c>
    </row>
    <row r="37" spans="2:19" ht="12.75">
      <c r="B37" s="864" t="s">
        <v>896</v>
      </c>
      <c r="C37" s="1096" t="s">
        <v>848</v>
      </c>
      <c r="S37" s="674" t="s">
        <v>511</v>
      </c>
    </row>
    <row r="38" spans="2:19" ht="12.75">
      <c r="B38" s="864" t="s">
        <v>897</v>
      </c>
      <c r="C38" s="1095" t="s">
        <v>848</v>
      </c>
      <c r="S38" s="674" t="s">
        <v>512</v>
      </c>
    </row>
    <row r="39" spans="2:19" ht="12.75">
      <c r="B39" s="864" t="s">
        <v>898</v>
      </c>
      <c r="C39" s="1097" t="s">
        <v>848</v>
      </c>
      <c r="S39" s="674" t="s">
        <v>513</v>
      </c>
    </row>
    <row r="40" spans="2:19" ht="12.75">
      <c r="B40" s="864" t="s">
        <v>1438</v>
      </c>
      <c r="C40" s="1097" t="s">
        <v>848</v>
      </c>
      <c r="S40" s="674" t="s">
        <v>514</v>
      </c>
    </row>
    <row r="41" spans="2:19" ht="12.75">
      <c r="B41" s="864" t="s">
        <v>847</v>
      </c>
      <c r="C41" s="1098" t="s">
        <v>848</v>
      </c>
      <c r="S41" s="674" t="s">
        <v>515</v>
      </c>
    </row>
    <row r="42" spans="2:19" ht="12.75">
      <c r="B42" s="864" t="s">
        <v>899</v>
      </c>
      <c r="C42" s="1098" t="s">
        <v>848</v>
      </c>
      <c r="S42" s="674" t="s">
        <v>516</v>
      </c>
    </row>
    <row r="43" spans="2:19" ht="12.75">
      <c r="B43" s="864" t="s">
        <v>900</v>
      </c>
      <c r="C43" s="1098" t="s">
        <v>848</v>
      </c>
      <c r="S43" s="674" t="s">
        <v>517</v>
      </c>
    </row>
    <row r="44" spans="2:19" ht="12.75">
      <c r="B44" s="864" t="s">
        <v>901</v>
      </c>
      <c r="C44" s="1098" t="s">
        <v>848</v>
      </c>
      <c r="S44" s="674" t="s">
        <v>519</v>
      </c>
    </row>
    <row r="45" spans="2:19" ht="12.75">
      <c r="B45" s="864" t="s">
        <v>902</v>
      </c>
      <c r="C45" s="1098" t="s">
        <v>848</v>
      </c>
      <c r="S45" s="674" t="s">
        <v>1567</v>
      </c>
    </row>
    <row r="46" spans="2:19" ht="12.75">
      <c r="B46" s="864" t="s">
        <v>903</v>
      </c>
      <c r="C46" s="1098" t="s">
        <v>848</v>
      </c>
      <c r="S46" s="674" t="s">
        <v>1568</v>
      </c>
    </row>
    <row r="47" spans="2:19" ht="12.75">
      <c r="B47" s="864" t="s">
        <v>904</v>
      </c>
      <c r="C47" s="1098" t="s">
        <v>848</v>
      </c>
      <c r="S47" s="674" t="s">
        <v>1569</v>
      </c>
    </row>
    <row r="48" spans="2:19" ht="12.75">
      <c r="B48" s="864" t="s">
        <v>905</v>
      </c>
      <c r="C48" s="1098" t="s">
        <v>848</v>
      </c>
      <c r="S48" s="674" t="s">
        <v>1570</v>
      </c>
    </row>
    <row r="49" spans="2:19" ht="12.75">
      <c r="B49" s="864" t="s">
        <v>849</v>
      </c>
      <c r="C49" s="1098" t="s">
        <v>848</v>
      </c>
      <c r="S49" s="674" t="s">
        <v>521</v>
      </c>
    </row>
    <row r="50" spans="2:19" ht="12.75">
      <c r="B50" s="864" t="s">
        <v>906</v>
      </c>
      <c r="C50" s="1098" t="s">
        <v>848</v>
      </c>
      <c r="S50" s="674" t="s">
        <v>522</v>
      </c>
    </row>
    <row r="51" spans="2:19" ht="12.75">
      <c r="B51" s="864" t="s">
        <v>907</v>
      </c>
      <c r="C51" s="1097" t="s">
        <v>848</v>
      </c>
      <c r="S51" s="674" t="s">
        <v>523</v>
      </c>
    </row>
    <row r="52" spans="2:19" ht="12.75">
      <c r="B52" s="864" t="s">
        <v>908</v>
      </c>
      <c r="C52" s="1097" t="s">
        <v>848</v>
      </c>
      <c r="S52" s="674" t="s">
        <v>524</v>
      </c>
    </row>
    <row r="53" spans="2:19" ht="12.75">
      <c r="B53" s="864" t="s">
        <v>909</v>
      </c>
      <c r="C53" s="1097" t="s">
        <v>848</v>
      </c>
      <c r="S53" s="674" t="s">
        <v>525</v>
      </c>
    </row>
    <row r="54" spans="2:19" ht="12.75">
      <c r="B54" s="864" t="s">
        <v>910</v>
      </c>
      <c r="C54" s="1097" t="s">
        <v>848</v>
      </c>
      <c r="S54" s="674" t="s">
        <v>526</v>
      </c>
    </row>
    <row r="55" spans="2:19" ht="12.75">
      <c r="B55" s="864" t="s">
        <v>911</v>
      </c>
      <c r="C55" s="1097" t="s">
        <v>848</v>
      </c>
      <c r="S55" s="674" t="s">
        <v>527</v>
      </c>
    </row>
    <row r="56" spans="2:19" ht="12.75">
      <c r="B56" s="864" t="s">
        <v>912</v>
      </c>
      <c r="C56" s="1097" t="s">
        <v>848</v>
      </c>
      <c r="S56" s="674" t="s">
        <v>528</v>
      </c>
    </row>
    <row r="57" spans="2:19" ht="12.75">
      <c r="B57" s="864" t="s">
        <v>913</v>
      </c>
      <c r="C57" s="1097" t="s">
        <v>848</v>
      </c>
      <c r="S57" s="674" t="s">
        <v>529</v>
      </c>
    </row>
    <row r="58" spans="2:19" ht="12.75">
      <c r="B58" s="864" t="s">
        <v>850</v>
      </c>
      <c r="C58" s="722" t="s">
        <v>848</v>
      </c>
      <c r="S58" s="674" t="s">
        <v>530</v>
      </c>
    </row>
    <row r="59" spans="2:19" ht="12.75">
      <c r="B59" s="864" t="s">
        <v>914</v>
      </c>
      <c r="C59" s="722" t="s">
        <v>848</v>
      </c>
      <c r="S59" s="674" t="s">
        <v>673</v>
      </c>
    </row>
    <row r="60" spans="2:19" ht="12.75">
      <c r="B60" s="864" t="s">
        <v>915</v>
      </c>
      <c r="C60" s="1097" t="s">
        <v>848</v>
      </c>
    </row>
    <row r="61" spans="2:19" ht="12.75">
      <c r="B61" s="864" t="s">
        <v>916</v>
      </c>
      <c r="C61" s="1097" t="s">
        <v>848</v>
      </c>
      <c r="R61" s="671" t="s">
        <v>1583</v>
      </c>
      <c r="S61" s="1091"/>
    </row>
    <row r="62" spans="2:19" ht="12.75">
      <c r="B62" s="864" t="s">
        <v>917</v>
      </c>
      <c r="C62" s="1097" t="s">
        <v>848</v>
      </c>
      <c r="R62" s="674" t="s">
        <v>259</v>
      </c>
      <c r="S62" s="1092"/>
    </row>
    <row r="63" spans="2:19" ht="12.75">
      <c r="B63" s="864" t="s">
        <v>1435</v>
      </c>
      <c r="C63" s="1097" t="s">
        <v>848</v>
      </c>
      <c r="R63" s="674" t="s">
        <v>582</v>
      </c>
      <c r="S63" s="1093"/>
    </row>
    <row r="64" spans="2:19" ht="12.75">
      <c r="B64" s="864" t="s">
        <v>918</v>
      </c>
      <c r="C64" s="1098" t="s">
        <v>848</v>
      </c>
      <c r="R64" s="1075"/>
      <c r="S64" s="1093"/>
    </row>
    <row r="65" spans="2:3" ht="12.75">
      <c r="B65" s="864" t="s">
        <v>919</v>
      </c>
      <c r="C65" s="1097" t="s">
        <v>848</v>
      </c>
    </row>
    <row r="66" spans="2:3" ht="12.75">
      <c r="B66" s="864" t="s">
        <v>920</v>
      </c>
      <c r="C66" s="1097" t="s">
        <v>848</v>
      </c>
    </row>
    <row r="67" spans="2:3" ht="12.75">
      <c r="B67" s="864" t="s">
        <v>921</v>
      </c>
      <c r="C67" s="1097" t="s">
        <v>848</v>
      </c>
    </row>
    <row r="68" spans="2:3" ht="12.75">
      <c r="B68" s="864" t="s">
        <v>922</v>
      </c>
      <c r="C68" s="1097" t="s">
        <v>848</v>
      </c>
    </row>
    <row r="69" spans="2:3" ht="12.75">
      <c r="B69" s="864" t="s">
        <v>851</v>
      </c>
      <c r="C69" s="1097" t="s">
        <v>848</v>
      </c>
    </row>
    <row r="70" spans="2:3" ht="12.75">
      <c r="B70" s="864" t="s">
        <v>923</v>
      </c>
      <c r="C70" s="1097" t="s">
        <v>848</v>
      </c>
    </row>
    <row r="71" spans="2:3" ht="12.75">
      <c r="B71" s="864" t="s">
        <v>924</v>
      </c>
      <c r="C71" s="1097" t="s">
        <v>848</v>
      </c>
    </row>
    <row r="72" spans="2:3" ht="12.75">
      <c r="B72" s="864" t="s">
        <v>1589</v>
      </c>
      <c r="C72" s="1097" t="s">
        <v>848</v>
      </c>
    </row>
    <row r="73" spans="2:3" ht="12.75">
      <c r="B73" s="864" t="s">
        <v>1590</v>
      </c>
      <c r="C73" s="1097" t="s">
        <v>848</v>
      </c>
    </row>
    <row r="74" spans="2:3" ht="12.75">
      <c r="B74" s="864" t="s">
        <v>884</v>
      </c>
      <c r="C74" s="1097" t="s">
        <v>848</v>
      </c>
    </row>
    <row r="75" spans="2:3" ht="12.75">
      <c r="B75" s="864" t="s">
        <v>1598</v>
      </c>
      <c r="C75" s="1097" t="s">
        <v>853</v>
      </c>
    </row>
    <row r="76" spans="2:3" ht="12.75">
      <c r="B76" s="864" t="s">
        <v>925</v>
      </c>
      <c r="C76" s="1097" t="s">
        <v>853</v>
      </c>
    </row>
    <row r="77" spans="2:3" ht="12.75">
      <c r="B77" s="864" t="s">
        <v>926</v>
      </c>
      <c r="C77" s="1097" t="s">
        <v>853</v>
      </c>
    </row>
    <row r="78" spans="2:3" ht="12.75">
      <c r="B78" s="864" t="s">
        <v>927</v>
      </c>
      <c r="C78" s="1097" t="s">
        <v>853</v>
      </c>
    </row>
    <row r="79" spans="2:3" ht="12.75">
      <c r="B79" s="864" t="s">
        <v>1591</v>
      </c>
      <c r="C79" s="1097" t="s">
        <v>853</v>
      </c>
    </row>
    <row r="80" spans="2:3" ht="12.75">
      <c r="B80" s="864" t="s">
        <v>852</v>
      </c>
      <c r="C80" s="1097" t="s">
        <v>853</v>
      </c>
    </row>
    <row r="81" spans="2:3" ht="12.75">
      <c r="B81" s="864" t="s">
        <v>928</v>
      </c>
      <c r="C81" s="1097" t="s">
        <v>853</v>
      </c>
    </row>
    <row r="82" spans="2:3" ht="12.75">
      <c r="B82" s="864" t="s">
        <v>929</v>
      </c>
      <c r="C82" s="1097" t="s">
        <v>853</v>
      </c>
    </row>
    <row r="83" spans="2:3" ht="12.75">
      <c r="B83" s="864" t="s">
        <v>930</v>
      </c>
      <c r="C83" s="1097" t="s">
        <v>853</v>
      </c>
    </row>
    <row r="84" spans="2:3" ht="12.75">
      <c r="B84" s="864" t="s">
        <v>931</v>
      </c>
      <c r="C84" s="1097" t="s">
        <v>853</v>
      </c>
    </row>
    <row r="85" spans="2:3" ht="12.75">
      <c r="B85" s="864" t="s">
        <v>932</v>
      </c>
      <c r="C85" s="1097" t="s">
        <v>853</v>
      </c>
    </row>
    <row r="86" spans="2:3" ht="12.75">
      <c r="B86" s="864" t="s">
        <v>854</v>
      </c>
      <c r="C86" s="1097" t="s">
        <v>853</v>
      </c>
    </row>
    <row r="87" spans="2:3" ht="12.75">
      <c r="B87" s="864" t="s">
        <v>933</v>
      </c>
      <c r="C87" s="1097" t="s">
        <v>853</v>
      </c>
    </row>
    <row r="88" spans="2:3" ht="12.75">
      <c r="B88" s="864" t="s">
        <v>934</v>
      </c>
      <c r="C88" s="1097" t="s">
        <v>853</v>
      </c>
    </row>
    <row r="89" spans="2:3" ht="12.75">
      <c r="B89" s="864" t="s">
        <v>935</v>
      </c>
      <c r="C89" s="1097" t="s">
        <v>853</v>
      </c>
    </row>
    <row r="90" spans="2:3" ht="12.75">
      <c r="B90" s="864" t="s">
        <v>936</v>
      </c>
      <c r="C90" s="1097" t="s">
        <v>853</v>
      </c>
    </row>
    <row r="91" spans="2:3" ht="12.75">
      <c r="B91" s="864" t="s">
        <v>937</v>
      </c>
      <c r="C91" s="1097" t="s">
        <v>853</v>
      </c>
    </row>
    <row r="92" spans="2:3" ht="12.75">
      <c r="B92" s="864" t="s">
        <v>1592</v>
      </c>
      <c r="C92" s="1097" t="s">
        <v>853</v>
      </c>
    </row>
    <row r="93" spans="2:3" ht="12.75">
      <c r="B93" s="864" t="s">
        <v>855</v>
      </c>
      <c r="C93" s="1097" t="s">
        <v>853</v>
      </c>
    </row>
    <row r="94" spans="2:3" ht="12.75">
      <c r="B94" s="864" t="s">
        <v>938</v>
      </c>
      <c r="C94" s="1097" t="s">
        <v>853</v>
      </c>
    </row>
    <row r="95" spans="2:3" ht="12.75">
      <c r="B95" s="864" t="s">
        <v>939</v>
      </c>
      <c r="C95" s="1097" t="s">
        <v>853</v>
      </c>
    </row>
    <row r="96" spans="2:3" ht="12.75">
      <c r="B96" s="864" t="s">
        <v>940</v>
      </c>
      <c r="C96" s="1097" t="s">
        <v>853</v>
      </c>
    </row>
    <row r="97" spans="2:3" ht="12.75">
      <c r="B97" s="864" t="s">
        <v>941</v>
      </c>
      <c r="C97" s="1097" t="s">
        <v>853</v>
      </c>
    </row>
    <row r="98" spans="2:3" ht="12.75">
      <c r="B98" s="864" t="s">
        <v>856</v>
      </c>
      <c r="C98" s="1097" t="s">
        <v>853</v>
      </c>
    </row>
    <row r="99" spans="2:3" ht="12.75">
      <c r="B99" s="864" t="s">
        <v>1599</v>
      </c>
      <c r="C99" s="1097" t="s">
        <v>882</v>
      </c>
    </row>
    <row r="100" spans="2:3" ht="12.75">
      <c r="B100" s="864" t="s">
        <v>1600</v>
      </c>
      <c r="C100" s="1097" t="s">
        <v>882</v>
      </c>
    </row>
    <row r="101" spans="2:3" ht="12.75">
      <c r="B101" s="864" t="s">
        <v>1601</v>
      </c>
      <c r="C101" s="1097" t="s">
        <v>882</v>
      </c>
    </row>
    <row r="102" spans="2:3" ht="12.75">
      <c r="B102" s="864" t="s">
        <v>942</v>
      </c>
      <c r="C102" s="1097" t="s">
        <v>882</v>
      </c>
    </row>
    <row r="103" spans="2:3" ht="12.75">
      <c r="B103" s="864" t="s">
        <v>943</v>
      </c>
      <c r="C103" s="1097" t="s">
        <v>882</v>
      </c>
    </row>
    <row r="104" spans="2:3" ht="12.75">
      <c r="B104" s="864" t="s">
        <v>944</v>
      </c>
      <c r="C104" s="1097" t="s">
        <v>882</v>
      </c>
    </row>
    <row r="105" spans="2:3" ht="12.75">
      <c r="B105" s="864" t="s">
        <v>881</v>
      </c>
      <c r="C105" s="1097" t="s">
        <v>882</v>
      </c>
    </row>
    <row r="106" spans="2:3" ht="12.75">
      <c r="B106" s="864" t="s">
        <v>945</v>
      </c>
      <c r="C106" s="1097" t="s">
        <v>882</v>
      </c>
    </row>
    <row r="107" spans="2:3" ht="12.75">
      <c r="B107" s="864" t="s">
        <v>946</v>
      </c>
      <c r="C107" s="1097" t="s">
        <v>882</v>
      </c>
    </row>
    <row r="108" spans="2:3" ht="12.75">
      <c r="B108" s="864" t="s">
        <v>947</v>
      </c>
      <c r="C108" s="1097" t="s">
        <v>882</v>
      </c>
    </row>
    <row r="109" spans="2:3" ht="12.75">
      <c r="B109" s="864" t="s">
        <v>1439</v>
      </c>
      <c r="C109" s="1097" t="s">
        <v>882</v>
      </c>
    </row>
    <row r="110" spans="2:3" ht="12.75">
      <c r="B110" s="864" t="s">
        <v>886</v>
      </c>
      <c r="C110" s="1097" t="s">
        <v>882</v>
      </c>
    </row>
    <row r="111" spans="2:3" ht="12.75">
      <c r="B111" s="864" t="s">
        <v>1602</v>
      </c>
      <c r="C111" s="1097" t="s">
        <v>1436</v>
      </c>
    </row>
    <row r="112" spans="2:3" ht="12.75">
      <c r="B112" s="864" t="s">
        <v>948</v>
      </c>
      <c r="C112" s="1097" t="s">
        <v>1436</v>
      </c>
    </row>
    <row r="113" spans="2:3" ht="12.75">
      <c r="B113" s="864" t="s">
        <v>949</v>
      </c>
      <c r="C113" s="1095" t="s">
        <v>1436</v>
      </c>
    </row>
    <row r="114" spans="2:3" ht="12.75">
      <c r="B114" s="864" t="s">
        <v>950</v>
      </c>
      <c r="C114" s="1095" t="s">
        <v>1436</v>
      </c>
    </row>
    <row r="115" spans="2:3" ht="12.75">
      <c r="B115" s="864" t="s">
        <v>951</v>
      </c>
      <c r="C115" s="1095" t="s">
        <v>1436</v>
      </c>
    </row>
    <row r="116" spans="2:3" ht="12.75">
      <c r="B116" s="864" t="s">
        <v>1440</v>
      </c>
      <c r="C116" s="1095" t="s">
        <v>1436</v>
      </c>
    </row>
    <row r="117" spans="2:3" ht="12.75">
      <c r="B117" s="864" t="s">
        <v>952</v>
      </c>
      <c r="C117" s="1095" t="s">
        <v>1436</v>
      </c>
    </row>
    <row r="118" spans="2:3" ht="12.75">
      <c r="B118" s="864" t="s">
        <v>857</v>
      </c>
      <c r="C118" s="1095" t="s">
        <v>1436</v>
      </c>
    </row>
    <row r="119" spans="2:3" ht="12.75">
      <c r="B119" s="864" t="s">
        <v>953</v>
      </c>
      <c r="C119" s="1095" t="s">
        <v>1436</v>
      </c>
    </row>
    <row r="120" spans="2:3" ht="12.75">
      <c r="B120" s="864" t="s">
        <v>954</v>
      </c>
      <c r="C120" s="1095" t="s">
        <v>1436</v>
      </c>
    </row>
    <row r="121" spans="2:3" ht="12.75">
      <c r="B121" s="864" t="s">
        <v>955</v>
      </c>
      <c r="C121" s="1095" t="s">
        <v>1436</v>
      </c>
    </row>
    <row r="122" spans="2:3" ht="12.75">
      <c r="B122" s="864" t="s">
        <v>956</v>
      </c>
      <c r="C122" s="1095" t="s">
        <v>1436</v>
      </c>
    </row>
    <row r="123" spans="2:3" ht="12.75">
      <c r="B123" s="864" t="s">
        <v>957</v>
      </c>
      <c r="C123" s="1095" t="s">
        <v>1436</v>
      </c>
    </row>
    <row r="124" spans="2:3" ht="12.75">
      <c r="B124" s="864" t="s">
        <v>958</v>
      </c>
      <c r="C124" s="1095" t="s">
        <v>1436</v>
      </c>
    </row>
    <row r="125" spans="2:3" ht="12.75">
      <c r="B125" s="864" t="s">
        <v>959</v>
      </c>
      <c r="C125" s="1095" t="s">
        <v>1436</v>
      </c>
    </row>
    <row r="126" spans="2:3" ht="12.75">
      <c r="B126" s="864" t="s">
        <v>858</v>
      </c>
      <c r="C126" s="1095" t="s">
        <v>1436</v>
      </c>
    </row>
    <row r="127" spans="2:3" ht="12.75">
      <c r="B127" s="864" t="s">
        <v>960</v>
      </c>
      <c r="C127" s="1095" t="s">
        <v>1436</v>
      </c>
    </row>
    <row r="128" spans="2:3" ht="12.75">
      <c r="B128" s="864" t="s">
        <v>961</v>
      </c>
      <c r="C128" s="1095" t="s">
        <v>1436</v>
      </c>
    </row>
    <row r="129" spans="2:3" ht="12.75">
      <c r="B129" s="864" t="s">
        <v>962</v>
      </c>
      <c r="C129" s="1095" t="s">
        <v>1436</v>
      </c>
    </row>
    <row r="130" spans="2:3" ht="12.75">
      <c r="B130" s="864" t="s">
        <v>963</v>
      </c>
      <c r="C130" s="1095" t="s">
        <v>1436</v>
      </c>
    </row>
    <row r="131" spans="2:3" ht="12.75">
      <c r="B131" s="864" t="s">
        <v>964</v>
      </c>
      <c r="C131" s="1095" t="s">
        <v>1436</v>
      </c>
    </row>
    <row r="132" spans="2:3" ht="12.75">
      <c r="B132" s="864" t="s">
        <v>859</v>
      </c>
      <c r="C132" s="1095" t="s">
        <v>1436</v>
      </c>
    </row>
    <row r="133" spans="2:3" ht="12.75">
      <c r="B133" s="864" t="s">
        <v>965</v>
      </c>
      <c r="C133" s="1097" t="s">
        <v>1436</v>
      </c>
    </row>
    <row r="134" spans="2:3" ht="12.75">
      <c r="B134" s="864" t="s">
        <v>966</v>
      </c>
      <c r="C134" s="1097" t="s">
        <v>1436</v>
      </c>
    </row>
    <row r="135" spans="2:3" ht="12.75">
      <c r="B135" s="864" t="s">
        <v>967</v>
      </c>
      <c r="C135" s="1097" t="s">
        <v>1436</v>
      </c>
    </row>
    <row r="136" spans="2:3" ht="12.75">
      <c r="B136" s="864" t="s">
        <v>968</v>
      </c>
      <c r="C136" s="1097" t="s">
        <v>1436</v>
      </c>
    </row>
    <row r="137" spans="2:3" ht="12.75">
      <c r="B137" s="864" t="s">
        <v>860</v>
      </c>
      <c r="C137" s="1097" t="s">
        <v>1436</v>
      </c>
    </row>
    <row r="138" spans="2:3" ht="12.75">
      <c r="B138" s="864" t="s">
        <v>969</v>
      </c>
      <c r="C138" s="1097" t="s">
        <v>1436</v>
      </c>
    </row>
    <row r="139" spans="2:3" ht="12.75">
      <c r="B139" s="864" t="s">
        <v>970</v>
      </c>
      <c r="C139" s="1097" t="s">
        <v>1436</v>
      </c>
    </row>
    <row r="140" spans="2:3" ht="12.75">
      <c r="B140" s="864" t="s">
        <v>971</v>
      </c>
      <c r="C140" s="1097" t="s">
        <v>1436</v>
      </c>
    </row>
    <row r="141" spans="2:3" ht="12.75">
      <c r="B141" s="864" t="s">
        <v>861</v>
      </c>
      <c r="C141" s="1097" t="s">
        <v>1436</v>
      </c>
    </row>
    <row r="142" spans="2:3" ht="12.75">
      <c r="B142" s="864" t="s">
        <v>972</v>
      </c>
      <c r="C142" s="1097" t="s">
        <v>1436</v>
      </c>
    </row>
    <row r="143" spans="2:3" ht="12.75">
      <c r="B143" s="864" t="s">
        <v>973</v>
      </c>
      <c r="C143" s="1098" t="s">
        <v>1436</v>
      </c>
    </row>
    <row r="144" spans="2:3" ht="12.75">
      <c r="B144" s="864" t="s">
        <v>974</v>
      </c>
      <c r="C144" s="1098" t="s">
        <v>1436</v>
      </c>
    </row>
    <row r="145" spans="2:3" ht="12.75">
      <c r="B145" s="864" t="s">
        <v>975</v>
      </c>
      <c r="C145" s="1098" t="s">
        <v>1436</v>
      </c>
    </row>
    <row r="146" spans="2:3" ht="12.75">
      <c r="B146" s="864" t="s">
        <v>976</v>
      </c>
      <c r="C146" s="1098" t="s">
        <v>1436</v>
      </c>
    </row>
    <row r="147" spans="2:3" ht="12.75">
      <c r="B147" s="864" t="s">
        <v>862</v>
      </c>
      <c r="C147" s="1098" t="s">
        <v>1436</v>
      </c>
    </row>
    <row r="148" spans="2:3" ht="12.75">
      <c r="B148" s="864" t="s">
        <v>977</v>
      </c>
      <c r="C148" s="1098" t="s">
        <v>1436</v>
      </c>
    </row>
    <row r="149" spans="2:3" ht="12.75">
      <c r="B149" s="864" t="s">
        <v>978</v>
      </c>
      <c r="C149" s="1098" t="s">
        <v>1436</v>
      </c>
    </row>
    <row r="150" spans="2:3" ht="12.75">
      <c r="B150" s="864" t="s">
        <v>1441</v>
      </c>
      <c r="C150" s="1098" t="s">
        <v>1436</v>
      </c>
    </row>
    <row r="151" spans="2:3" ht="12.75">
      <c r="B151" s="864" t="s">
        <v>979</v>
      </c>
      <c r="C151" s="1098" t="s">
        <v>1436</v>
      </c>
    </row>
    <row r="152" spans="2:3" ht="12.75">
      <c r="B152" s="864" t="s">
        <v>980</v>
      </c>
      <c r="C152" s="1098" t="s">
        <v>1436</v>
      </c>
    </row>
    <row r="153" spans="2:3" ht="12.75">
      <c r="B153" s="864" t="s">
        <v>863</v>
      </c>
      <c r="C153" s="1098" t="s">
        <v>1436</v>
      </c>
    </row>
    <row r="154" spans="2:3" ht="12.75">
      <c r="B154" s="864" t="s">
        <v>1442</v>
      </c>
      <c r="C154" s="1098" t="s">
        <v>1436</v>
      </c>
    </row>
    <row r="155" spans="2:3" ht="12.75">
      <c r="B155" s="864" t="s">
        <v>981</v>
      </c>
      <c r="C155" s="1098" t="s">
        <v>1436</v>
      </c>
    </row>
    <row r="156" spans="2:3" ht="12.75">
      <c r="B156" s="864" t="s">
        <v>982</v>
      </c>
      <c r="C156" s="1098" t="s">
        <v>1436</v>
      </c>
    </row>
    <row r="157" spans="2:3" ht="12.75">
      <c r="B157" s="864" t="s">
        <v>1443</v>
      </c>
      <c r="C157" s="1098" t="s">
        <v>1436</v>
      </c>
    </row>
    <row r="158" spans="2:3" ht="12.75">
      <c r="B158" s="864" t="s">
        <v>983</v>
      </c>
      <c r="C158" s="1098" t="s">
        <v>1436</v>
      </c>
    </row>
    <row r="159" spans="2:3" ht="12.75">
      <c r="B159" s="864" t="s">
        <v>984</v>
      </c>
      <c r="C159" s="1098" t="s">
        <v>1436</v>
      </c>
    </row>
    <row r="160" spans="2:3" ht="12.75">
      <c r="B160" s="864" t="s">
        <v>864</v>
      </c>
      <c r="C160" s="1098" t="s">
        <v>1436</v>
      </c>
    </row>
    <row r="161" spans="2:3" ht="12.75">
      <c r="B161" s="864" t="s">
        <v>985</v>
      </c>
      <c r="C161" s="1098" t="s">
        <v>1436</v>
      </c>
    </row>
    <row r="162" spans="2:3" ht="12.75">
      <c r="B162" s="864" t="s">
        <v>986</v>
      </c>
      <c r="C162" s="1098" t="s">
        <v>1436</v>
      </c>
    </row>
    <row r="163" spans="2:3" ht="12.75">
      <c r="B163" s="864" t="s">
        <v>987</v>
      </c>
      <c r="C163" s="1098" t="s">
        <v>1436</v>
      </c>
    </row>
    <row r="164" spans="2:3" ht="12.75">
      <c r="B164" s="864" t="s">
        <v>988</v>
      </c>
      <c r="C164" s="1098" t="s">
        <v>1436</v>
      </c>
    </row>
    <row r="165" spans="2:3" ht="12.75">
      <c r="B165" s="864" t="s">
        <v>865</v>
      </c>
      <c r="C165" s="1098" t="s">
        <v>1436</v>
      </c>
    </row>
    <row r="166" spans="2:3" ht="12.75">
      <c r="B166" s="864" t="s">
        <v>989</v>
      </c>
      <c r="C166" s="1098" t="s">
        <v>1436</v>
      </c>
    </row>
    <row r="167" spans="2:3" ht="12.75">
      <c r="B167" s="864" t="s">
        <v>990</v>
      </c>
      <c r="C167" s="1098" t="s">
        <v>1436</v>
      </c>
    </row>
    <row r="168" spans="2:3" ht="12.75">
      <c r="B168" s="864" t="s">
        <v>991</v>
      </c>
      <c r="C168" s="1098" t="s">
        <v>1436</v>
      </c>
    </row>
    <row r="169" spans="2:3" ht="12.75">
      <c r="B169" s="864" t="s">
        <v>992</v>
      </c>
      <c r="C169" s="1098" t="s">
        <v>1436</v>
      </c>
    </row>
    <row r="170" spans="2:3" ht="12.75">
      <c r="B170" s="864" t="s">
        <v>993</v>
      </c>
      <c r="C170" s="1098" t="s">
        <v>1436</v>
      </c>
    </row>
    <row r="171" spans="2:3" ht="12.75">
      <c r="B171" s="864" t="s">
        <v>883</v>
      </c>
      <c r="C171" s="1098" t="s">
        <v>1436</v>
      </c>
    </row>
    <row r="172" spans="2:3" ht="12.75">
      <c r="B172" s="864" t="s">
        <v>994</v>
      </c>
      <c r="C172" s="1098" t="s">
        <v>1603</v>
      </c>
    </row>
    <row r="173" spans="2:3" ht="12.75">
      <c r="B173" s="864" t="s">
        <v>995</v>
      </c>
      <c r="C173" s="1098" t="s">
        <v>1603</v>
      </c>
    </row>
    <row r="174" spans="2:3" ht="12.75">
      <c r="B174" s="864" t="s">
        <v>996</v>
      </c>
      <c r="C174" s="1098" t="s">
        <v>1603</v>
      </c>
    </row>
    <row r="175" spans="2:3" ht="12.75">
      <c r="B175" s="864" t="s">
        <v>997</v>
      </c>
      <c r="C175" s="1098" t="s">
        <v>1603</v>
      </c>
    </row>
    <row r="176" spans="2:3" ht="12.75">
      <c r="B176" s="864" t="s">
        <v>998</v>
      </c>
      <c r="C176" s="1098" t="s">
        <v>1603</v>
      </c>
    </row>
    <row r="177" spans="2:3" ht="12.75">
      <c r="B177" s="864" t="s">
        <v>871</v>
      </c>
      <c r="C177" s="1098" t="s">
        <v>1603</v>
      </c>
    </row>
    <row r="178" spans="2:3" ht="12.75">
      <c r="B178" s="864" t="s">
        <v>999</v>
      </c>
      <c r="C178" s="1098" t="s">
        <v>1603</v>
      </c>
    </row>
    <row r="179" spans="2:3" ht="12.75">
      <c r="B179" s="864" t="s">
        <v>1000</v>
      </c>
      <c r="C179" s="1098" t="s">
        <v>1603</v>
      </c>
    </row>
    <row r="180" spans="2:3" ht="12.75">
      <c r="B180" s="864" t="s">
        <v>1001</v>
      </c>
      <c r="C180" s="1098" t="s">
        <v>1603</v>
      </c>
    </row>
    <row r="181" spans="2:3" ht="12.75">
      <c r="B181" s="864" t="s">
        <v>1002</v>
      </c>
      <c r="C181" s="1098" t="s">
        <v>1603</v>
      </c>
    </row>
    <row r="182" spans="2:3" ht="12.75">
      <c r="B182" s="864" t="s">
        <v>872</v>
      </c>
      <c r="C182" s="1098" t="s">
        <v>1603</v>
      </c>
    </row>
    <row r="183" spans="2:3" ht="12.75">
      <c r="B183" s="864" t="s">
        <v>1003</v>
      </c>
      <c r="C183" s="1098" t="s">
        <v>1603</v>
      </c>
    </row>
    <row r="184" spans="2:3" ht="12.75">
      <c r="B184" s="864" t="s">
        <v>1004</v>
      </c>
      <c r="C184" s="1098" t="s">
        <v>1603</v>
      </c>
    </row>
    <row r="185" spans="2:3" ht="12.75">
      <c r="B185" s="864" t="s">
        <v>1005</v>
      </c>
      <c r="C185" s="1098" t="s">
        <v>1603</v>
      </c>
    </row>
    <row r="186" spans="2:3" ht="12.75">
      <c r="B186" s="864" t="s">
        <v>1006</v>
      </c>
      <c r="C186" s="1098" t="s">
        <v>1603</v>
      </c>
    </row>
    <row r="187" spans="2:3" ht="12.75">
      <c r="B187" s="864" t="s">
        <v>1007</v>
      </c>
      <c r="C187" s="1098" t="s">
        <v>1603</v>
      </c>
    </row>
    <row r="188" spans="2:3" ht="12.75">
      <c r="B188" s="864" t="s">
        <v>873</v>
      </c>
      <c r="C188" s="1098" t="s">
        <v>1603</v>
      </c>
    </row>
    <row r="189" spans="2:3" ht="12.75">
      <c r="B189" s="864" t="s">
        <v>1008</v>
      </c>
      <c r="C189" s="1098" t="s">
        <v>1603</v>
      </c>
    </row>
    <row r="190" spans="2:3" ht="12.75">
      <c r="B190" s="864" t="s">
        <v>1009</v>
      </c>
      <c r="C190" s="1098" t="s">
        <v>1603</v>
      </c>
    </row>
    <row r="191" spans="2:3" ht="12.75">
      <c r="B191" s="864" t="s">
        <v>1010</v>
      </c>
      <c r="C191" s="1098" t="s">
        <v>1603</v>
      </c>
    </row>
    <row r="192" spans="2:3" ht="12.75">
      <c r="B192" s="864" t="s">
        <v>1011</v>
      </c>
      <c r="C192" s="1098" t="s">
        <v>1603</v>
      </c>
    </row>
    <row r="193" spans="2:3" ht="12.75">
      <c r="B193" s="864" t="s">
        <v>1012</v>
      </c>
      <c r="C193" s="1098" t="s">
        <v>1603</v>
      </c>
    </row>
    <row r="194" spans="2:3" ht="12.75">
      <c r="B194" s="864" t="s">
        <v>1013</v>
      </c>
      <c r="C194" s="1097" t="s">
        <v>1603</v>
      </c>
    </row>
    <row r="195" spans="2:3" ht="12.75">
      <c r="B195" s="864" t="s">
        <v>874</v>
      </c>
      <c r="C195" s="1097" t="s">
        <v>1603</v>
      </c>
    </row>
    <row r="196" spans="2:3" ht="12.75">
      <c r="B196" s="864" t="s">
        <v>1444</v>
      </c>
      <c r="C196" s="1097" t="s">
        <v>1603</v>
      </c>
    </row>
    <row r="197" spans="2:3" ht="12.75">
      <c r="B197" s="864" t="s">
        <v>1014</v>
      </c>
      <c r="C197" s="1097" t="s">
        <v>1603</v>
      </c>
    </row>
    <row r="198" spans="2:3" ht="12.75">
      <c r="B198" s="864" t="s">
        <v>1445</v>
      </c>
      <c r="C198" s="1097" t="s">
        <v>1603</v>
      </c>
    </row>
    <row r="199" spans="2:3" ht="12.75">
      <c r="B199" s="864" t="s">
        <v>1015</v>
      </c>
      <c r="C199" s="1097" t="s">
        <v>1603</v>
      </c>
    </row>
    <row r="200" spans="2:3" ht="12.75">
      <c r="B200" s="864" t="s">
        <v>1016</v>
      </c>
      <c r="C200" s="1097" t="s">
        <v>1603</v>
      </c>
    </row>
    <row r="201" spans="2:3" ht="12.75">
      <c r="B201" s="864" t="s">
        <v>1587</v>
      </c>
      <c r="C201" s="1097" t="s">
        <v>1603</v>
      </c>
    </row>
    <row r="202" spans="2:3" ht="12.75">
      <c r="B202" s="864" t="s">
        <v>1017</v>
      </c>
      <c r="C202" s="1097" t="s">
        <v>868</v>
      </c>
    </row>
    <row r="203" spans="2:3" ht="12.75">
      <c r="B203" s="864" t="s">
        <v>1018</v>
      </c>
      <c r="C203" s="1097" t="s">
        <v>868</v>
      </c>
    </row>
    <row r="204" spans="2:3" ht="12.75">
      <c r="B204" s="864" t="s">
        <v>1019</v>
      </c>
      <c r="C204" s="1097" t="s">
        <v>868</v>
      </c>
    </row>
    <row r="205" spans="2:3" ht="12.75">
      <c r="B205" s="864" t="s">
        <v>1446</v>
      </c>
      <c r="C205" s="1097" t="s">
        <v>868</v>
      </c>
    </row>
    <row r="206" spans="2:3" ht="12.75">
      <c r="B206" s="864" t="s">
        <v>1020</v>
      </c>
      <c r="C206" s="1097" t="s">
        <v>868</v>
      </c>
    </row>
    <row r="207" spans="2:3" ht="12.75">
      <c r="B207" s="864" t="s">
        <v>1021</v>
      </c>
      <c r="C207" s="1097" t="s">
        <v>868</v>
      </c>
    </row>
    <row r="208" spans="2:3" ht="12.75">
      <c r="B208" s="864" t="s">
        <v>1022</v>
      </c>
      <c r="C208" s="1097" t="s">
        <v>868</v>
      </c>
    </row>
    <row r="209" spans="2:3" ht="12.75">
      <c r="B209" s="864" t="s">
        <v>867</v>
      </c>
      <c r="C209" s="1097" t="s">
        <v>868</v>
      </c>
    </row>
    <row r="210" spans="2:3" ht="12.75">
      <c r="B210" s="864" t="s">
        <v>1447</v>
      </c>
      <c r="C210" s="1097" t="s">
        <v>868</v>
      </c>
    </row>
    <row r="211" spans="2:3" ht="12.75">
      <c r="B211" s="864" t="s">
        <v>1593</v>
      </c>
      <c r="C211" s="1097" t="s">
        <v>868</v>
      </c>
    </row>
    <row r="212" spans="2:3" ht="12.75">
      <c r="B212" s="864" t="s">
        <v>1023</v>
      </c>
      <c r="C212" s="1097" t="s">
        <v>868</v>
      </c>
    </row>
    <row r="213" spans="2:3" ht="12.75">
      <c r="B213" s="864" t="s">
        <v>1024</v>
      </c>
      <c r="C213" s="1097" t="s">
        <v>868</v>
      </c>
    </row>
    <row r="214" spans="2:3" ht="12.75">
      <c r="B214" s="864" t="s">
        <v>1594</v>
      </c>
      <c r="C214" s="1097" t="s">
        <v>868</v>
      </c>
    </row>
    <row r="215" spans="2:3" ht="12.75">
      <c r="B215" s="864" t="s">
        <v>1025</v>
      </c>
      <c r="C215" s="1097" t="s">
        <v>868</v>
      </c>
    </row>
    <row r="216" spans="2:3" ht="12.75">
      <c r="B216" s="864" t="s">
        <v>869</v>
      </c>
      <c r="C216" s="1097" t="s">
        <v>868</v>
      </c>
    </row>
    <row r="217" spans="2:3" ht="12.75">
      <c r="B217" s="864" t="s">
        <v>1026</v>
      </c>
      <c r="C217" s="1097" t="s">
        <v>868</v>
      </c>
    </row>
    <row r="218" spans="2:3" ht="12.75">
      <c r="B218" s="864" t="s">
        <v>1027</v>
      </c>
      <c r="C218" s="1097" t="s">
        <v>868</v>
      </c>
    </row>
    <row r="219" spans="2:3" ht="12.75">
      <c r="B219" s="864" t="s">
        <v>1028</v>
      </c>
      <c r="C219" s="1097" t="s">
        <v>868</v>
      </c>
    </row>
    <row r="220" spans="2:3" ht="12.75">
      <c r="B220" s="864" t="s">
        <v>1029</v>
      </c>
      <c r="C220" s="1097" t="s">
        <v>868</v>
      </c>
    </row>
    <row r="221" spans="2:3" ht="12.75">
      <c r="B221" s="864" t="s">
        <v>1030</v>
      </c>
      <c r="C221" s="1097" t="s">
        <v>868</v>
      </c>
    </row>
    <row r="222" spans="2:3" ht="12.75">
      <c r="B222" s="864" t="s">
        <v>870</v>
      </c>
      <c r="C222" s="1097" t="s">
        <v>868</v>
      </c>
    </row>
    <row r="223" spans="2:3" ht="12.75">
      <c r="B223" s="864" t="s">
        <v>1057</v>
      </c>
      <c r="C223" s="1097" t="s">
        <v>876</v>
      </c>
    </row>
    <row r="224" spans="2:3" ht="12.75">
      <c r="B224" s="864" t="s">
        <v>1058</v>
      </c>
      <c r="C224" s="1097" t="s">
        <v>876</v>
      </c>
    </row>
    <row r="225" spans="2:3" ht="12.75">
      <c r="B225" s="864" t="s">
        <v>1059</v>
      </c>
      <c r="C225" s="1097" t="s">
        <v>876</v>
      </c>
    </row>
    <row r="226" spans="2:3" ht="12.75">
      <c r="B226" s="864" t="s">
        <v>1060</v>
      </c>
      <c r="C226" s="1097" t="s">
        <v>876</v>
      </c>
    </row>
    <row r="227" spans="2:3" ht="12.75">
      <c r="B227" s="864" t="s">
        <v>1061</v>
      </c>
      <c r="C227" s="1097" t="s">
        <v>876</v>
      </c>
    </row>
    <row r="228" spans="2:3" ht="12.75">
      <c r="B228" s="864" t="s">
        <v>875</v>
      </c>
      <c r="C228" s="1097" t="s">
        <v>876</v>
      </c>
    </row>
    <row r="229" spans="2:3" ht="12.75">
      <c r="B229" s="864" t="s">
        <v>1062</v>
      </c>
      <c r="C229" s="1097" t="s">
        <v>876</v>
      </c>
    </row>
    <row r="230" spans="2:3" ht="12.75">
      <c r="B230" s="864" t="s">
        <v>1063</v>
      </c>
      <c r="C230" s="1097" t="s">
        <v>876</v>
      </c>
    </row>
    <row r="231" spans="2:3" ht="12.75">
      <c r="B231" s="864" t="s">
        <v>1064</v>
      </c>
      <c r="C231" s="1097" t="s">
        <v>876</v>
      </c>
    </row>
    <row r="232" spans="2:3" ht="12.75">
      <c r="B232" s="864" t="s">
        <v>1065</v>
      </c>
      <c r="C232" s="1097" t="s">
        <v>876</v>
      </c>
    </row>
    <row r="233" spans="2:3" ht="12.75">
      <c r="B233" s="864" t="s">
        <v>1066</v>
      </c>
      <c r="C233" s="1097" t="s">
        <v>876</v>
      </c>
    </row>
    <row r="234" spans="2:3" ht="12.75">
      <c r="B234" s="864" t="s">
        <v>877</v>
      </c>
      <c r="C234" s="1097" t="s">
        <v>876</v>
      </c>
    </row>
    <row r="235" spans="2:3" ht="12.75">
      <c r="B235" s="864" t="s">
        <v>1067</v>
      </c>
      <c r="C235" s="1097" t="s">
        <v>876</v>
      </c>
    </row>
    <row r="236" spans="2:3" ht="12.75">
      <c r="B236" s="864" t="s">
        <v>1068</v>
      </c>
      <c r="C236" s="1097" t="s">
        <v>876</v>
      </c>
    </row>
    <row r="237" spans="2:3" ht="12.75">
      <c r="B237" s="864" t="s">
        <v>1069</v>
      </c>
      <c r="C237" s="1097" t="s">
        <v>876</v>
      </c>
    </row>
    <row r="238" spans="2:3" ht="12.75">
      <c r="B238" s="864" t="s">
        <v>1070</v>
      </c>
      <c r="C238" s="1097" t="s">
        <v>876</v>
      </c>
    </row>
    <row r="239" spans="2:3" ht="12.75">
      <c r="B239" s="864" t="s">
        <v>1595</v>
      </c>
      <c r="C239" s="1097" t="s">
        <v>876</v>
      </c>
    </row>
    <row r="240" spans="2:3" ht="12.75">
      <c r="B240" s="864" t="s">
        <v>878</v>
      </c>
      <c r="C240" s="1097" t="s">
        <v>876</v>
      </c>
    </row>
    <row r="241" spans="2:3" ht="12.75">
      <c r="B241" s="864" t="s">
        <v>1071</v>
      </c>
      <c r="C241" s="1097" t="s">
        <v>876</v>
      </c>
    </row>
    <row r="242" spans="2:3" ht="12.75">
      <c r="B242" s="864" t="s">
        <v>1072</v>
      </c>
      <c r="C242" s="1097" t="s">
        <v>876</v>
      </c>
    </row>
    <row r="243" spans="2:3" ht="12.75">
      <c r="B243" s="864" t="s">
        <v>1073</v>
      </c>
      <c r="C243" s="1097" t="s">
        <v>876</v>
      </c>
    </row>
    <row r="244" spans="2:3" ht="12.75">
      <c r="B244" s="864" t="s">
        <v>1074</v>
      </c>
      <c r="C244" s="1097" t="s">
        <v>876</v>
      </c>
    </row>
    <row r="245" spans="2:3" ht="12.75">
      <c r="B245" s="864" t="s">
        <v>880</v>
      </c>
      <c r="C245" s="1097" t="s">
        <v>876</v>
      </c>
    </row>
    <row r="246" spans="2:3" ht="12.75">
      <c r="B246" s="864" t="s">
        <v>1448</v>
      </c>
      <c r="C246" s="1097" t="s">
        <v>885</v>
      </c>
    </row>
    <row r="247" spans="2:3" ht="12.75">
      <c r="B247" s="864" t="s">
        <v>1055</v>
      </c>
      <c r="C247" s="1097" t="s">
        <v>885</v>
      </c>
    </row>
    <row r="248" spans="2:3" ht="12.75">
      <c r="B248" s="864" t="s">
        <v>1056</v>
      </c>
      <c r="C248" s="1097" t="s">
        <v>885</v>
      </c>
    </row>
    <row r="249" spans="2:3" ht="12.75">
      <c r="B249" s="864" t="s">
        <v>1437</v>
      </c>
      <c r="C249" s="1097" t="s">
        <v>885</v>
      </c>
    </row>
    <row r="250" spans="2:3" ht="12.75">
      <c r="B250" s="864" t="s">
        <v>1031</v>
      </c>
      <c r="C250" s="1097" t="s">
        <v>885</v>
      </c>
    </row>
    <row r="251" spans="2:3" ht="12.75">
      <c r="B251" s="864" t="s">
        <v>1032</v>
      </c>
      <c r="C251" s="1097" t="s">
        <v>885</v>
      </c>
    </row>
    <row r="252" spans="2:3" ht="12.75">
      <c r="B252" s="864" t="s">
        <v>1033</v>
      </c>
      <c r="C252" s="1097" t="s">
        <v>885</v>
      </c>
    </row>
    <row r="253" spans="2:3" ht="12.75">
      <c r="B253" s="864" t="s">
        <v>1034</v>
      </c>
      <c r="C253" s="1097" t="s">
        <v>885</v>
      </c>
    </row>
    <row r="254" spans="2:3" ht="12.75">
      <c r="B254" s="864" t="s">
        <v>1035</v>
      </c>
      <c r="C254" s="1097" t="s">
        <v>885</v>
      </c>
    </row>
    <row r="255" spans="2:3" ht="12.75">
      <c r="B255" s="864" t="s">
        <v>1036</v>
      </c>
      <c r="C255" s="1097" t="s">
        <v>885</v>
      </c>
    </row>
    <row r="256" spans="2:3" ht="12.75">
      <c r="B256" s="864" t="s">
        <v>888</v>
      </c>
      <c r="C256" s="1097" t="s">
        <v>885</v>
      </c>
    </row>
    <row r="257" spans="2:3" ht="12.75">
      <c r="B257" s="864" t="s">
        <v>1037</v>
      </c>
      <c r="C257" s="1097" t="s">
        <v>885</v>
      </c>
    </row>
    <row r="258" spans="2:3" ht="12.75">
      <c r="B258" s="864" t="s">
        <v>1038</v>
      </c>
      <c r="C258" s="1097" t="s">
        <v>885</v>
      </c>
    </row>
    <row r="259" spans="2:3" ht="12.75">
      <c r="B259" s="864" t="s">
        <v>1039</v>
      </c>
      <c r="C259" s="1097" t="s">
        <v>885</v>
      </c>
    </row>
    <row r="260" spans="2:3" ht="12.75">
      <c r="B260" s="864" t="s">
        <v>1040</v>
      </c>
      <c r="C260" s="1097" t="s">
        <v>885</v>
      </c>
    </row>
    <row r="261" spans="2:3" ht="12.75">
      <c r="B261" s="864" t="s">
        <v>1041</v>
      </c>
      <c r="C261" s="1097" t="s">
        <v>885</v>
      </c>
    </row>
    <row r="262" spans="2:3" ht="12.75">
      <c r="B262" s="864" t="s">
        <v>1042</v>
      </c>
      <c r="C262" s="1097" t="s">
        <v>885</v>
      </c>
    </row>
    <row r="263" spans="2:3" ht="12.75">
      <c r="B263" s="864" t="s">
        <v>1043</v>
      </c>
      <c r="C263" s="1097" t="s">
        <v>885</v>
      </c>
    </row>
    <row r="264" spans="2:3" ht="12.75">
      <c r="B264" s="864" t="s">
        <v>1044</v>
      </c>
      <c r="C264" s="1097" t="s">
        <v>885</v>
      </c>
    </row>
    <row r="265" spans="2:3" ht="12.75">
      <c r="B265" s="864" t="s">
        <v>1588</v>
      </c>
      <c r="C265" s="1097" t="s">
        <v>885</v>
      </c>
    </row>
    <row r="266" spans="2:3" ht="12.75">
      <c r="B266" s="864" t="s">
        <v>1045</v>
      </c>
      <c r="C266" s="1097" t="s">
        <v>885</v>
      </c>
    </row>
    <row r="267" spans="2:3" ht="12.75">
      <c r="B267" s="864" t="s">
        <v>1046</v>
      </c>
      <c r="C267" s="1097" t="s">
        <v>885</v>
      </c>
    </row>
    <row r="268" spans="2:3" ht="12.75">
      <c r="B268" s="864" t="s">
        <v>1047</v>
      </c>
      <c r="C268" s="1097" t="s">
        <v>885</v>
      </c>
    </row>
    <row r="269" spans="2:3" ht="12.75">
      <c r="B269" s="864" t="s">
        <v>1048</v>
      </c>
      <c r="C269" s="1097" t="s">
        <v>885</v>
      </c>
    </row>
    <row r="270" spans="2:3" ht="12.75">
      <c r="B270" s="864" t="s">
        <v>1049</v>
      </c>
      <c r="C270" s="1097" t="s">
        <v>885</v>
      </c>
    </row>
    <row r="271" spans="2:3" ht="12.75">
      <c r="B271" s="864" t="s">
        <v>1050</v>
      </c>
      <c r="C271" s="1097" t="s">
        <v>885</v>
      </c>
    </row>
    <row r="272" spans="2:3" ht="12.75">
      <c r="B272" s="864" t="s">
        <v>889</v>
      </c>
      <c r="C272" s="1097" t="s">
        <v>885</v>
      </c>
    </row>
    <row r="273" spans="2:3" ht="12.75">
      <c r="B273" s="864" t="s">
        <v>1051</v>
      </c>
      <c r="C273" s="1097" t="s">
        <v>885</v>
      </c>
    </row>
    <row r="274" spans="2:3" ht="12.75">
      <c r="B274" s="864" t="s">
        <v>1052</v>
      </c>
      <c r="C274" s="1097" t="s">
        <v>885</v>
      </c>
    </row>
    <row r="275" spans="2:3" ht="12.75">
      <c r="B275" s="864" t="s">
        <v>1053</v>
      </c>
      <c r="C275" s="1097" t="s">
        <v>885</v>
      </c>
    </row>
    <row r="276" spans="2:3" ht="12.75">
      <c r="B276" s="864" t="s">
        <v>1054</v>
      </c>
      <c r="C276" s="1097" t="s">
        <v>885</v>
      </c>
    </row>
    <row r="277" spans="2:3" ht="12.75">
      <c r="B277" s="864" t="s">
        <v>890</v>
      </c>
      <c r="C277" s="1097" t="s">
        <v>885</v>
      </c>
    </row>
    <row r="278" spans="2:3" ht="12.75">
      <c r="B278" s="864" t="s">
        <v>1604</v>
      </c>
      <c r="C278" s="1097" t="s">
        <v>846</v>
      </c>
    </row>
    <row r="279" spans="2:3" ht="12.75">
      <c r="B279" s="864" t="s">
        <v>1075</v>
      </c>
      <c r="C279" s="1097" t="s">
        <v>846</v>
      </c>
    </row>
    <row r="280" spans="2:3" ht="12.75">
      <c r="B280" s="864" t="s">
        <v>1076</v>
      </c>
      <c r="C280" s="1097" t="s">
        <v>846</v>
      </c>
    </row>
    <row r="281" spans="2:3" ht="12.75">
      <c r="B281" s="864" t="s">
        <v>1077</v>
      </c>
      <c r="C281" s="1097" t="s">
        <v>846</v>
      </c>
    </row>
    <row r="282" spans="2:3" ht="12.75">
      <c r="B282" s="864" t="s">
        <v>1078</v>
      </c>
      <c r="C282" s="1097" t="s">
        <v>846</v>
      </c>
    </row>
    <row r="283" spans="2:3" ht="12.75">
      <c r="B283" s="864" t="s">
        <v>1079</v>
      </c>
      <c r="C283" s="1097" t="s">
        <v>846</v>
      </c>
    </row>
    <row r="284" spans="2:3" ht="12.75">
      <c r="B284" s="864" t="s">
        <v>845</v>
      </c>
      <c r="C284" s="1097" t="s">
        <v>846</v>
      </c>
    </row>
    <row r="285" spans="2:3" ht="12.75">
      <c r="B285" s="864" t="s">
        <v>1080</v>
      </c>
      <c r="C285" s="1097" t="s">
        <v>846</v>
      </c>
    </row>
    <row r="286" spans="2:3" ht="12.75">
      <c r="B286" s="864" t="s">
        <v>1081</v>
      </c>
      <c r="C286" s="1097" t="s">
        <v>846</v>
      </c>
    </row>
    <row r="287" spans="2:3" ht="12.75">
      <c r="B287" s="864" t="s">
        <v>1082</v>
      </c>
      <c r="C287" s="1097" t="s">
        <v>846</v>
      </c>
    </row>
    <row r="288" spans="2:3" ht="12.75">
      <c r="B288" s="864" t="s">
        <v>1083</v>
      </c>
      <c r="C288" s="1097" t="s">
        <v>846</v>
      </c>
    </row>
    <row r="289" spans="2:3" ht="12.75">
      <c r="B289" s="864" t="s">
        <v>1449</v>
      </c>
      <c r="C289" s="1097" t="s">
        <v>846</v>
      </c>
    </row>
    <row r="290" spans="2:3" ht="12.75">
      <c r="B290" s="864" t="s">
        <v>1586</v>
      </c>
      <c r="C290" s="1097" t="s">
        <v>846</v>
      </c>
    </row>
    <row r="291" spans="2:3" ht="12.75">
      <c r="B291" s="864" t="s">
        <v>1084</v>
      </c>
      <c r="C291" s="1097" t="s">
        <v>846</v>
      </c>
    </row>
    <row r="292" spans="2:3" ht="12.75">
      <c r="B292" s="864" t="s">
        <v>1085</v>
      </c>
      <c r="C292" s="1097" t="s">
        <v>846</v>
      </c>
    </row>
    <row r="293" spans="2:3" ht="12.75">
      <c r="B293" s="864" t="s">
        <v>1086</v>
      </c>
      <c r="C293" s="1097" t="s">
        <v>846</v>
      </c>
    </row>
    <row r="294" spans="2:3" ht="12.75">
      <c r="B294" s="864" t="s">
        <v>1087</v>
      </c>
      <c r="C294" s="1097" t="s">
        <v>846</v>
      </c>
    </row>
    <row r="295" spans="2:3" ht="12.75">
      <c r="B295" s="864" t="s">
        <v>866</v>
      </c>
      <c r="C295" s="1097" t="s">
        <v>846</v>
      </c>
    </row>
    <row r="296" spans="2:3" ht="12.75">
      <c r="B296" s="864" t="s">
        <v>1088</v>
      </c>
      <c r="C296" s="1097" t="s">
        <v>846</v>
      </c>
    </row>
    <row r="297" spans="2:3" ht="12.75">
      <c r="B297" s="864" t="s">
        <v>1089</v>
      </c>
      <c r="C297" s="1097" t="s">
        <v>846</v>
      </c>
    </row>
    <row r="298" spans="2:3" ht="12.75">
      <c r="B298" s="864" t="s">
        <v>1090</v>
      </c>
      <c r="C298" s="1097" t="s">
        <v>846</v>
      </c>
    </row>
    <row r="299" spans="2:3" ht="12.75">
      <c r="B299" s="864" t="s">
        <v>1091</v>
      </c>
      <c r="C299" s="1097" t="s">
        <v>846</v>
      </c>
    </row>
    <row r="300" spans="2:3" ht="12.75">
      <c r="B300" s="864" t="s">
        <v>1092</v>
      </c>
      <c r="C300" s="1097" t="s">
        <v>846</v>
      </c>
    </row>
    <row r="301" spans="2:3" ht="12.75">
      <c r="B301" s="864" t="s">
        <v>1093</v>
      </c>
      <c r="C301" s="1097" t="s">
        <v>846</v>
      </c>
    </row>
    <row r="302" spans="2:3" ht="12.75">
      <c r="B302" s="864" t="s">
        <v>1094</v>
      </c>
      <c r="C302" s="1097" t="s">
        <v>846</v>
      </c>
    </row>
    <row r="303" spans="2:3" ht="12.75">
      <c r="B303" s="864" t="s">
        <v>879</v>
      </c>
      <c r="C303" s="1097" t="s">
        <v>846</v>
      </c>
    </row>
    <row r="304" spans="2:3" ht="12.75">
      <c r="B304" s="864" t="s">
        <v>1095</v>
      </c>
      <c r="C304" s="1097" t="s">
        <v>846</v>
      </c>
    </row>
    <row r="305" spans="2:3" ht="12.75">
      <c r="B305" s="864" t="s">
        <v>1096</v>
      </c>
      <c r="C305" s="1097" t="s">
        <v>846</v>
      </c>
    </row>
    <row r="306" spans="2:3" ht="12.75">
      <c r="B306" s="864" t="s">
        <v>1097</v>
      </c>
      <c r="C306" s="1097" t="s">
        <v>846</v>
      </c>
    </row>
    <row r="307" spans="2:3" ht="12.75">
      <c r="B307" s="864" t="s">
        <v>887</v>
      </c>
      <c r="C307" s="1097" t="s">
        <v>846</v>
      </c>
    </row>
    <row r="308" spans="2:3">
      <c r="C308" s="1099">
        <f>COUNTA(C30:C307)</f>
        <v>278</v>
      </c>
    </row>
  </sheetData>
  <phoneticPr fontId="17"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sheetPr codeName="Sheet13">
    <tabColor indexed="42"/>
  </sheetPr>
  <dimension ref="A1:N142"/>
  <sheetViews>
    <sheetView showGridLines="0" workbookViewId="0">
      <pane xSplit="2" ySplit="5" topLeftCell="C60" activePane="bottomRight" state="frozen"/>
      <selection pane="topRight" activeCell="C1" sqref="C1"/>
      <selection pane="bottomLeft" activeCell="A6" sqref="A6"/>
      <selection pane="bottomRight" activeCell="E84" sqref="E84"/>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"&amp;ADJB18d&amp;" - "&amp;Date</f>
        <v>LIM333 Greater Tzaneen - Supporting Table SB18d Consolidated Adjustments Budget - depreciation by asset class - 26 FEBRUARY 2014</v>
      </c>
      <c r="B1" s="5"/>
      <c r="C1" s="58"/>
    </row>
    <row r="2" spans="1:14" ht="25.5">
      <c r="A2" s="1322" t="str">
        <f>desc</f>
        <v>Description</v>
      </c>
      <c r="B2" s="1322" t="str">
        <f>head27</f>
        <v>Ref</v>
      </c>
      <c r="C2" s="1319" t="str">
        <f>Head2</f>
        <v>Budget Year 2013/14</v>
      </c>
      <c r="D2" s="1320"/>
      <c r="E2" s="1320"/>
      <c r="F2" s="1320"/>
      <c r="G2" s="1320"/>
      <c r="H2" s="1320"/>
      <c r="I2" s="1320"/>
      <c r="J2" s="1320"/>
      <c r="K2" s="1321"/>
      <c r="L2" s="169" t="str">
        <f>Head10</f>
        <v>Budget Year +1 2014/15</v>
      </c>
      <c r="M2" s="170" t="str">
        <f>Head11</f>
        <v>Budget Year +2 2015/16</v>
      </c>
    </row>
    <row r="3" spans="1:14" ht="25.5">
      <c r="A3" s="1323"/>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3"/>
      <c r="B4" s="1323"/>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3" t="s">
        <v>1622</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9">
        <f t="shared" ref="C8:M8" si="0">C9+C12+C16+C20+C23</f>
        <v>95760120</v>
      </c>
      <c r="D8" s="719">
        <f t="shared" si="0"/>
        <v>0</v>
      </c>
      <c r="E8" s="719">
        <f t="shared" si="0"/>
        <v>0</v>
      </c>
      <c r="F8" s="719">
        <f t="shared" si="0"/>
        <v>0</v>
      </c>
      <c r="G8" s="719">
        <f t="shared" si="0"/>
        <v>0</v>
      </c>
      <c r="H8" s="719">
        <f t="shared" si="0"/>
        <v>0</v>
      </c>
      <c r="I8" s="719">
        <f t="shared" si="0"/>
        <v>0</v>
      </c>
      <c r="J8" s="720">
        <f>SUM(E8:I8)</f>
        <v>0</v>
      </c>
      <c r="K8" s="720">
        <f>IF(D8=0,C8+J8,D8+J8)</f>
        <v>95760120</v>
      </c>
      <c r="L8" s="719">
        <f t="shared" si="0"/>
        <v>110127684</v>
      </c>
      <c r="M8" s="721">
        <f t="shared" si="0"/>
        <v>117722730</v>
      </c>
      <c r="N8" s="873"/>
    </row>
    <row r="9" spans="1:14" ht="12.75" customHeight="1">
      <c r="A9" s="609" t="s">
        <v>487</v>
      </c>
      <c r="B9" s="73"/>
      <c r="C9" s="265">
        <f t="shared" ref="C9:M9" si="1">SUM(C10:C11)</f>
        <v>58843557</v>
      </c>
      <c r="D9" s="265">
        <f t="shared" si="1"/>
        <v>0</v>
      </c>
      <c r="E9" s="265">
        <f t="shared" si="1"/>
        <v>0</v>
      </c>
      <c r="F9" s="265">
        <f t="shared" si="1"/>
        <v>0</v>
      </c>
      <c r="G9" s="265">
        <f t="shared" si="1"/>
        <v>0</v>
      </c>
      <c r="H9" s="265">
        <f t="shared" si="1"/>
        <v>0</v>
      </c>
      <c r="I9" s="265">
        <f t="shared" si="1"/>
        <v>0</v>
      </c>
      <c r="J9" s="75">
        <f t="shared" ref="J9:J41" si="2">SUM(E9:I9)</f>
        <v>0</v>
      </c>
      <c r="K9" s="75">
        <f t="shared" ref="K9:K41" si="3">IF(D9=0,C9+J9,D9+J9)</f>
        <v>58843557</v>
      </c>
      <c r="L9" s="265">
        <f t="shared" si="1"/>
        <v>65972070</v>
      </c>
      <c r="M9" s="266">
        <f t="shared" si="1"/>
        <v>71327492</v>
      </c>
      <c r="N9" s="127"/>
    </row>
    <row r="10" spans="1:14" ht="12.75" customHeight="1">
      <c r="A10" s="610" t="s">
        <v>488</v>
      </c>
      <c r="B10" s="73"/>
      <c r="C10" s="109">
        <v>58843557</v>
      </c>
      <c r="D10" s="109"/>
      <c r="E10" s="109"/>
      <c r="F10" s="109"/>
      <c r="G10" s="109"/>
      <c r="H10" s="109"/>
      <c r="I10" s="109"/>
      <c r="J10" s="75">
        <f t="shared" si="2"/>
        <v>0</v>
      </c>
      <c r="K10" s="75">
        <f t="shared" si="3"/>
        <v>58843557</v>
      </c>
      <c r="L10" s="109">
        <v>65972070</v>
      </c>
      <c r="M10" s="109">
        <v>71327492</v>
      </c>
      <c r="N10" s="873"/>
    </row>
    <row r="11" spans="1:14" ht="12.75" customHeight="1">
      <c r="A11" s="610" t="s">
        <v>489</v>
      </c>
      <c r="B11" s="73"/>
      <c r="C11" s="109"/>
      <c r="D11" s="109"/>
      <c r="E11" s="109"/>
      <c r="F11" s="109"/>
      <c r="G11" s="109"/>
      <c r="H11" s="109"/>
      <c r="I11" s="109"/>
      <c r="J11" s="75">
        <f t="shared" si="2"/>
        <v>0</v>
      </c>
      <c r="K11" s="75">
        <f t="shared" si="3"/>
        <v>0</v>
      </c>
      <c r="L11" s="109"/>
      <c r="M11" s="110"/>
      <c r="N11" s="878"/>
    </row>
    <row r="12" spans="1:14" ht="12.75" customHeight="1">
      <c r="A12" s="609" t="s">
        <v>490</v>
      </c>
      <c r="B12" s="73"/>
      <c r="C12" s="131">
        <f t="shared" ref="C12:M12" si="4">SUM(C13:C15)</f>
        <v>36151325</v>
      </c>
      <c r="D12" s="131">
        <f t="shared" si="4"/>
        <v>0</v>
      </c>
      <c r="E12" s="131">
        <f t="shared" si="4"/>
        <v>0</v>
      </c>
      <c r="F12" s="131">
        <f t="shared" si="4"/>
        <v>0</v>
      </c>
      <c r="G12" s="131">
        <f t="shared" si="4"/>
        <v>0</v>
      </c>
      <c r="H12" s="131">
        <f t="shared" si="4"/>
        <v>0</v>
      </c>
      <c r="I12" s="131">
        <f t="shared" si="4"/>
        <v>0</v>
      </c>
      <c r="J12" s="75">
        <f t="shared" si="2"/>
        <v>0</v>
      </c>
      <c r="K12" s="75">
        <f t="shared" si="3"/>
        <v>36151325</v>
      </c>
      <c r="L12" s="131">
        <f t="shared" si="4"/>
        <v>42648565</v>
      </c>
      <c r="M12" s="132">
        <f t="shared" si="4"/>
        <v>44814344</v>
      </c>
      <c r="N12" s="878"/>
    </row>
    <row r="13" spans="1:14" ht="12.75" customHeight="1">
      <c r="A13" s="610" t="s">
        <v>491</v>
      </c>
      <c r="B13" s="73"/>
      <c r="C13" s="109"/>
      <c r="D13" s="109"/>
      <c r="E13" s="109"/>
      <c r="F13" s="109"/>
      <c r="G13" s="109"/>
      <c r="H13" s="109"/>
      <c r="I13" s="109"/>
      <c r="J13" s="75">
        <f t="shared" si="2"/>
        <v>0</v>
      </c>
      <c r="K13" s="75">
        <f t="shared" si="3"/>
        <v>0</v>
      </c>
      <c r="L13" s="109"/>
      <c r="M13" s="110"/>
      <c r="N13" s="878"/>
    </row>
    <row r="14" spans="1:14" ht="12.75" customHeight="1">
      <c r="A14" s="610" t="s">
        <v>492</v>
      </c>
      <c r="B14" s="73"/>
      <c r="C14" s="109">
        <v>36151325</v>
      </c>
      <c r="D14" s="109"/>
      <c r="E14" s="109"/>
      <c r="F14" s="109"/>
      <c r="G14" s="109"/>
      <c r="H14" s="109"/>
      <c r="I14" s="109"/>
      <c r="J14" s="75">
        <f t="shared" si="2"/>
        <v>0</v>
      </c>
      <c r="K14" s="75">
        <f t="shared" si="3"/>
        <v>36151325</v>
      </c>
      <c r="L14" s="109">
        <v>42648565</v>
      </c>
      <c r="M14" s="109">
        <v>44814344</v>
      </c>
      <c r="N14" s="878"/>
    </row>
    <row r="15" spans="1:14" ht="12.75" customHeight="1">
      <c r="A15" s="610" t="s">
        <v>493</v>
      </c>
      <c r="B15" s="73"/>
      <c r="C15" s="109"/>
      <c r="D15" s="109"/>
      <c r="E15" s="109"/>
      <c r="F15" s="109"/>
      <c r="G15" s="109"/>
      <c r="H15" s="109"/>
      <c r="I15" s="109"/>
      <c r="J15" s="75">
        <f t="shared" si="2"/>
        <v>0</v>
      </c>
      <c r="K15" s="75">
        <f t="shared" si="3"/>
        <v>0</v>
      </c>
      <c r="L15" s="109"/>
      <c r="M15" s="110"/>
      <c r="N15" s="878"/>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8"/>
    </row>
    <row r="17" spans="1:14" ht="12.75" customHeight="1">
      <c r="A17" s="610" t="s">
        <v>495</v>
      </c>
      <c r="B17" s="73"/>
      <c r="C17" s="109"/>
      <c r="D17" s="109"/>
      <c r="E17" s="109"/>
      <c r="F17" s="109"/>
      <c r="G17" s="109"/>
      <c r="H17" s="109"/>
      <c r="I17" s="109"/>
      <c r="J17" s="75">
        <f t="shared" si="2"/>
        <v>0</v>
      </c>
      <c r="K17" s="75">
        <f t="shared" si="3"/>
        <v>0</v>
      </c>
      <c r="L17" s="109"/>
      <c r="M17" s="110"/>
      <c r="N17" s="878"/>
    </row>
    <row r="18" spans="1:14" ht="12.75" customHeight="1">
      <c r="A18" s="610" t="s">
        <v>496</v>
      </c>
      <c r="B18" s="73"/>
      <c r="C18" s="109"/>
      <c r="D18" s="109"/>
      <c r="E18" s="109"/>
      <c r="F18" s="109"/>
      <c r="G18" s="109"/>
      <c r="H18" s="109"/>
      <c r="I18" s="109"/>
      <c r="J18" s="75">
        <f t="shared" si="2"/>
        <v>0</v>
      </c>
      <c r="K18" s="75">
        <f t="shared" si="3"/>
        <v>0</v>
      </c>
      <c r="L18" s="109"/>
      <c r="M18" s="110"/>
      <c r="N18" s="878"/>
    </row>
    <row r="19" spans="1:14" ht="12.75" customHeight="1">
      <c r="A19" s="610" t="s">
        <v>497</v>
      </c>
      <c r="B19" s="73"/>
      <c r="C19" s="109"/>
      <c r="D19" s="109"/>
      <c r="E19" s="109"/>
      <c r="F19" s="109"/>
      <c r="G19" s="109"/>
      <c r="H19" s="109"/>
      <c r="I19" s="109"/>
      <c r="J19" s="75">
        <f t="shared" si="2"/>
        <v>0</v>
      </c>
      <c r="K19" s="75">
        <f t="shared" si="3"/>
        <v>0</v>
      </c>
      <c r="L19" s="109"/>
      <c r="M19" s="110"/>
      <c r="N19" s="878"/>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8"/>
    </row>
    <row r="21" spans="1:14" ht="12.75" customHeight="1">
      <c r="A21" s="610" t="s">
        <v>497</v>
      </c>
      <c r="B21" s="73"/>
      <c r="C21" s="109"/>
      <c r="D21" s="109"/>
      <c r="E21" s="109"/>
      <c r="F21" s="109"/>
      <c r="G21" s="109"/>
      <c r="H21" s="109"/>
      <c r="I21" s="109"/>
      <c r="J21" s="75">
        <f t="shared" si="2"/>
        <v>0</v>
      </c>
      <c r="K21" s="75">
        <f t="shared" si="3"/>
        <v>0</v>
      </c>
      <c r="L21" s="109"/>
      <c r="M21" s="110"/>
      <c r="N21" s="878"/>
    </row>
    <row r="22" spans="1:14" ht="12.75" customHeight="1">
      <c r="A22" s="610" t="s">
        <v>499</v>
      </c>
      <c r="B22" s="73"/>
      <c r="C22" s="109"/>
      <c r="D22" s="109"/>
      <c r="E22" s="109"/>
      <c r="F22" s="109"/>
      <c r="G22" s="109"/>
      <c r="H22" s="109"/>
      <c r="I22" s="109"/>
      <c r="J22" s="75">
        <f t="shared" si="2"/>
        <v>0</v>
      </c>
      <c r="K22" s="75">
        <f t="shared" si="3"/>
        <v>0</v>
      </c>
      <c r="L22" s="109"/>
      <c r="M22" s="110"/>
      <c r="N22" s="878"/>
    </row>
    <row r="23" spans="1:14" ht="12.75" customHeight="1">
      <c r="A23" s="609" t="s">
        <v>500</v>
      </c>
      <c r="B23" s="73"/>
      <c r="C23" s="131">
        <f t="shared" ref="C23:M23" si="7">SUM(C24:C27)</f>
        <v>765238</v>
      </c>
      <c r="D23" s="131">
        <f t="shared" si="7"/>
        <v>0</v>
      </c>
      <c r="E23" s="131">
        <f t="shared" si="7"/>
        <v>0</v>
      </c>
      <c r="F23" s="131">
        <f t="shared" si="7"/>
        <v>0</v>
      </c>
      <c r="G23" s="131">
        <f t="shared" si="7"/>
        <v>0</v>
      </c>
      <c r="H23" s="131">
        <f t="shared" si="7"/>
        <v>0</v>
      </c>
      <c r="I23" s="131">
        <f t="shared" si="7"/>
        <v>0</v>
      </c>
      <c r="J23" s="75">
        <f t="shared" si="2"/>
        <v>0</v>
      </c>
      <c r="K23" s="75">
        <f t="shared" si="3"/>
        <v>765238</v>
      </c>
      <c r="L23" s="131">
        <f t="shared" si="7"/>
        <v>1507049</v>
      </c>
      <c r="M23" s="132">
        <f t="shared" si="7"/>
        <v>1580894</v>
      </c>
      <c r="N23" s="878"/>
    </row>
    <row r="24" spans="1:14" ht="12.75" customHeight="1">
      <c r="A24" s="612" t="s">
        <v>1240</v>
      </c>
      <c r="B24" s="73"/>
      <c r="C24" s="109">
        <v>739902</v>
      </c>
      <c r="D24" s="109"/>
      <c r="E24" s="109"/>
      <c r="F24" s="109"/>
      <c r="G24" s="109"/>
      <c r="H24" s="109"/>
      <c r="I24" s="109"/>
      <c r="J24" s="75">
        <f t="shared" si="2"/>
        <v>0</v>
      </c>
      <c r="K24" s="75">
        <f t="shared" si="3"/>
        <v>739902</v>
      </c>
      <c r="L24" s="109">
        <v>1481713</v>
      </c>
      <c r="M24" s="109">
        <v>1554317</v>
      </c>
      <c r="N24" s="878"/>
    </row>
    <row r="25" spans="1:14" ht="12.75" customHeight="1">
      <c r="A25" s="612" t="s">
        <v>501</v>
      </c>
      <c r="B25" s="73">
        <v>2</v>
      </c>
      <c r="C25" s="109"/>
      <c r="D25" s="109"/>
      <c r="E25" s="109"/>
      <c r="F25" s="109"/>
      <c r="G25" s="109"/>
      <c r="H25" s="109"/>
      <c r="I25" s="109"/>
      <c r="J25" s="75">
        <f t="shared" si="2"/>
        <v>0</v>
      </c>
      <c r="K25" s="75">
        <f t="shared" si="3"/>
        <v>0</v>
      </c>
      <c r="L25" s="109"/>
      <c r="M25" s="109" t="s">
        <v>1787</v>
      </c>
      <c r="N25" s="878"/>
    </row>
    <row r="26" spans="1:14" ht="12.75" customHeight="1">
      <c r="A26" s="612" t="s">
        <v>502</v>
      </c>
      <c r="B26" s="73"/>
      <c r="C26" s="109"/>
      <c r="D26" s="109"/>
      <c r="E26" s="109"/>
      <c r="F26" s="109"/>
      <c r="G26" s="109"/>
      <c r="H26" s="109"/>
      <c r="I26" s="109"/>
      <c r="J26" s="75">
        <f t="shared" si="2"/>
        <v>0</v>
      </c>
      <c r="K26" s="75">
        <f t="shared" si="3"/>
        <v>0</v>
      </c>
      <c r="L26" s="109"/>
      <c r="M26" s="109" t="s">
        <v>1787</v>
      </c>
      <c r="N26" s="878"/>
    </row>
    <row r="27" spans="1:14" ht="12.75" customHeight="1">
      <c r="A27" s="612" t="s">
        <v>673</v>
      </c>
      <c r="B27" s="73">
        <v>3</v>
      </c>
      <c r="C27" s="109">
        <v>25336</v>
      </c>
      <c r="D27" s="109"/>
      <c r="E27" s="109"/>
      <c r="F27" s="109"/>
      <c r="G27" s="109"/>
      <c r="H27" s="109"/>
      <c r="I27" s="109"/>
      <c r="J27" s="75">
        <f t="shared" si="2"/>
        <v>0</v>
      </c>
      <c r="K27" s="75">
        <f t="shared" si="3"/>
        <v>25336</v>
      </c>
      <c r="L27" s="109">
        <v>25336</v>
      </c>
      <c r="M27" s="109">
        <v>26577</v>
      </c>
      <c r="N27" s="878"/>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2288685</v>
      </c>
      <c r="D29" s="140">
        <f t="shared" si="8"/>
        <v>0</v>
      </c>
      <c r="E29" s="140">
        <f t="shared" si="8"/>
        <v>0</v>
      </c>
      <c r="F29" s="140">
        <f t="shared" si="8"/>
        <v>0</v>
      </c>
      <c r="G29" s="140">
        <f t="shared" si="8"/>
        <v>0</v>
      </c>
      <c r="H29" s="140">
        <f t="shared" si="8"/>
        <v>0</v>
      </c>
      <c r="I29" s="140">
        <f t="shared" si="8"/>
        <v>0</v>
      </c>
      <c r="J29" s="75">
        <f t="shared" si="2"/>
        <v>0</v>
      </c>
      <c r="K29" s="75">
        <f t="shared" si="3"/>
        <v>2288685</v>
      </c>
      <c r="L29" s="140">
        <f t="shared" si="8"/>
        <v>3234602</v>
      </c>
      <c r="M29" s="141">
        <f t="shared" si="8"/>
        <v>3393096</v>
      </c>
      <c r="N29" s="127"/>
    </row>
    <row r="30" spans="1:14" ht="12.75" customHeight="1">
      <c r="A30" s="128" t="s">
        <v>503</v>
      </c>
      <c r="B30" s="73"/>
      <c r="C30" s="129">
        <v>244941</v>
      </c>
      <c r="D30" s="109"/>
      <c r="E30" s="109"/>
      <c r="F30" s="109"/>
      <c r="G30" s="109"/>
      <c r="H30" s="109"/>
      <c r="I30" s="109"/>
      <c r="J30" s="75">
        <f t="shared" si="2"/>
        <v>0</v>
      </c>
      <c r="K30" s="75">
        <f t="shared" si="3"/>
        <v>244941</v>
      </c>
      <c r="L30" s="109">
        <v>870010</v>
      </c>
      <c r="M30" s="109">
        <v>912640</v>
      </c>
      <c r="N30" s="127"/>
    </row>
    <row r="31" spans="1:14" ht="12.75" customHeight="1">
      <c r="A31" s="128" t="s">
        <v>504</v>
      </c>
      <c r="B31" s="73"/>
      <c r="C31" s="129"/>
      <c r="D31" s="109"/>
      <c r="E31" s="109"/>
      <c r="F31" s="109"/>
      <c r="G31" s="109"/>
      <c r="H31" s="109"/>
      <c r="I31" s="109"/>
      <c r="J31" s="75">
        <f t="shared" si="2"/>
        <v>0</v>
      </c>
      <c r="K31" s="75">
        <f t="shared" si="3"/>
        <v>0</v>
      </c>
      <c r="L31" s="109" t="s">
        <v>1787</v>
      </c>
      <c r="M31" s="109" t="s">
        <v>1787</v>
      </c>
      <c r="N31" s="127"/>
    </row>
    <row r="32" spans="1:14" ht="12.75" customHeight="1">
      <c r="A32" s="128" t="s">
        <v>505</v>
      </c>
      <c r="B32" s="73"/>
      <c r="C32" s="129"/>
      <c r="D32" s="109"/>
      <c r="E32" s="109"/>
      <c r="F32" s="109"/>
      <c r="G32" s="109"/>
      <c r="H32" s="109"/>
      <c r="I32" s="109"/>
      <c r="J32" s="75">
        <f t="shared" si="2"/>
        <v>0</v>
      </c>
      <c r="K32" s="75">
        <f t="shared" si="3"/>
        <v>0</v>
      </c>
      <c r="L32" s="109" t="s">
        <v>1787</v>
      </c>
      <c r="M32" s="109" t="s">
        <v>1787</v>
      </c>
      <c r="N32" s="127"/>
    </row>
    <row r="33" spans="1:14" ht="12.75" customHeight="1">
      <c r="A33" s="128" t="s">
        <v>506</v>
      </c>
      <c r="B33" s="73"/>
      <c r="C33" s="129"/>
      <c r="D33" s="109"/>
      <c r="E33" s="109"/>
      <c r="F33" s="109"/>
      <c r="G33" s="109"/>
      <c r="H33" s="109"/>
      <c r="I33" s="109"/>
      <c r="J33" s="75">
        <f t="shared" si="2"/>
        <v>0</v>
      </c>
      <c r="K33" s="75">
        <f t="shared" si="3"/>
        <v>0</v>
      </c>
      <c r="L33" s="109" t="s">
        <v>1787</v>
      </c>
      <c r="M33" s="109" t="s">
        <v>1787</v>
      </c>
      <c r="N33" s="127"/>
    </row>
    <row r="34" spans="1:14" ht="12.75" customHeight="1">
      <c r="A34" s="128" t="s">
        <v>507</v>
      </c>
      <c r="B34" s="73"/>
      <c r="C34" s="129">
        <v>109594</v>
      </c>
      <c r="D34" s="109"/>
      <c r="E34" s="109"/>
      <c r="F34" s="109"/>
      <c r="G34" s="109"/>
      <c r="H34" s="109"/>
      <c r="I34" s="109"/>
      <c r="J34" s="75">
        <f t="shared" si="2"/>
        <v>0</v>
      </c>
      <c r="K34" s="75">
        <f t="shared" si="3"/>
        <v>109594</v>
      </c>
      <c r="L34" s="109">
        <v>114964</v>
      </c>
      <c r="M34" s="109">
        <v>120597</v>
      </c>
      <c r="N34" s="127"/>
    </row>
    <row r="35" spans="1:14" ht="12.75" customHeight="1">
      <c r="A35" s="128" t="s">
        <v>508</v>
      </c>
      <c r="B35" s="73"/>
      <c r="C35" s="129">
        <v>825616</v>
      </c>
      <c r="D35" s="109"/>
      <c r="E35" s="109"/>
      <c r="F35" s="109"/>
      <c r="G35" s="109"/>
      <c r="H35" s="109"/>
      <c r="I35" s="109"/>
      <c r="J35" s="75">
        <f t="shared" si="2"/>
        <v>0</v>
      </c>
      <c r="K35" s="75">
        <f t="shared" si="3"/>
        <v>825616</v>
      </c>
      <c r="L35" s="109">
        <v>1086775</v>
      </c>
      <c r="M35" s="109">
        <v>1140027</v>
      </c>
      <c r="N35" s="127"/>
    </row>
    <row r="36" spans="1:14" ht="12.75" customHeight="1">
      <c r="A36" s="128" t="s">
        <v>509</v>
      </c>
      <c r="B36" s="73"/>
      <c r="C36" s="129"/>
      <c r="D36" s="109"/>
      <c r="E36" s="109"/>
      <c r="F36" s="109"/>
      <c r="G36" s="109"/>
      <c r="H36" s="109"/>
      <c r="I36" s="109"/>
      <c r="J36" s="75">
        <f t="shared" si="2"/>
        <v>0</v>
      </c>
      <c r="K36" s="75">
        <f t="shared" si="3"/>
        <v>0</v>
      </c>
      <c r="L36" s="109"/>
      <c r="M36" s="109"/>
      <c r="N36" s="127"/>
    </row>
    <row r="37" spans="1:14" ht="12.75" customHeight="1">
      <c r="A37" s="128" t="s">
        <v>510</v>
      </c>
      <c r="B37" s="73"/>
      <c r="C37" s="129">
        <v>6795</v>
      </c>
      <c r="D37" s="109"/>
      <c r="E37" s="109"/>
      <c r="F37" s="109"/>
      <c r="G37" s="109"/>
      <c r="H37" s="109"/>
      <c r="I37" s="109"/>
      <c r="J37" s="75">
        <f t="shared" si="2"/>
        <v>0</v>
      </c>
      <c r="K37" s="75">
        <f t="shared" si="3"/>
        <v>6795</v>
      </c>
      <c r="L37" s="109">
        <v>7128</v>
      </c>
      <c r="M37" s="109">
        <v>7477</v>
      </c>
      <c r="N37" s="127"/>
    </row>
    <row r="38" spans="1:14" ht="12.75" customHeight="1">
      <c r="A38" s="128" t="s">
        <v>511</v>
      </c>
      <c r="B38" s="73"/>
      <c r="C38" s="129"/>
      <c r="D38" s="109"/>
      <c r="E38" s="109"/>
      <c r="F38" s="109"/>
      <c r="G38" s="109"/>
      <c r="H38" s="109"/>
      <c r="I38" s="109"/>
      <c r="J38" s="75">
        <f t="shared" si="2"/>
        <v>0</v>
      </c>
      <c r="K38" s="75">
        <f t="shared" si="3"/>
        <v>0</v>
      </c>
      <c r="L38" s="109"/>
      <c r="M38" s="109"/>
      <c r="N38" s="127"/>
    </row>
    <row r="39" spans="1:14" ht="12.75" customHeight="1">
      <c r="A39" s="128" t="s">
        <v>512</v>
      </c>
      <c r="B39" s="73"/>
      <c r="C39" s="129"/>
      <c r="D39" s="109"/>
      <c r="E39" s="109"/>
      <c r="F39" s="109"/>
      <c r="G39" s="109"/>
      <c r="H39" s="109"/>
      <c r="I39" s="109"/>
      <c r="J39" s="75">
        <f t="shared" si="2"/>
        <v>0</v>
      </c>
      <c r="K39" s="75">
        <f t="shared" si="3"/>
        <v>0</v>
      </c>
      <c r="L39" s="109"/>
      <c r="M39" s="109"/>
      <c r="N39" s="127"/>
    </row>
    <row r="40" spans="1:14" ht="12.75" customHeight="1">
      <c r="A40" s="128" t="s">
        <v>513</v>
      </c>
      <c r="B40" s="73"/>
      <c r="C40" s="129">
        <v>32877</v>
      </c>
      <c r="D40" s="109"/>
      <c r="E40" s="109"/>
      <c r="F40" s="109"/>
      <c r="G40" s="109"/>
      <c r="H40" s="109"/>
      <c r="I40" s="109"/>
      <c r="J40" s="75">
        <f t="shared" si="2"/>
        <v>0</v>
      </c>
      <c r="K40" s="75">
        <f t="shared" si="3"/>
        <v>32877</v>
      </c>
      <c r="L40" s="109">
        <v>34488</v>
      </c>
      <c r="M40" s="109">
        <v>36178</v>
      </c>
      <c r="N40" s="127"/>
    </row>
    <row r="41" spans="1:14" ht="12.75" customHeight="1">
      <c r="A41" s="128" t="s">
        <v>514</v>
      </c>
      <c r="B41" s="73"/>
      <c r="C41" s="129">
        <v>41426</v>
      </c>
      <c r="D41" s="109"/>
      <c r="E41" s="109"/>
      <c r="F41" s="109"/>
      <c r="G41" s="109"/>
      <c r="H41" s="109"/>
      <c r="I41" s="109"/>
      <c r="J41" s="75">
        <f t="shared" si="2"/>
        <v>0</v>
      </c>
      <c r="K41" s="75">
        <f t="shared" si="3"/>
        <v>41426</v>
      </c>
      <c r="L41" s="109">
        <v>43456</v>
      </c>
      <c r="M41" s="109">
        <v>45585</v>
      </c>
      <c r="N41" s="127"/>
    </row>
    <row r="42" spans="1:14" ht="12.75" customHeight="1">
      <c r="A42" s="609" t="s">
        <v>515</v>
      </c>
      <c r="B42" s="73"/>
      <c r="C42" s="129"/>
      <c r="D42" s="109"/>
      <c r="E42" s="109"/>
      <c r="F42" s="109"/>
      <c r="G42" s="109"/>
      <c r="H42" s="109"/>
      <c r="I42" s="109"/>
      <c r="J42" s="75">
        <f>SUM(E42:I42)</f>
        <v>0</v>
      </c>
      <c r="K42" s="75">
        <f>IF(D42=0,C42+J42,D42+J42)</f>
        <v>0</v>
      </c>
      <c r="L42" s="109"/>
      <c r="M42" s="109"/>
      <c r="N42" s="127"/>
    </row>
    <row r="43" spans="1:14" ht="12.75" customHeight="1">
      <c r="A43" s="128" t="s">
        <v>673</v>
      </c>
      <c r="B43" s="73"/>
      <c r="C43" s="129">
        <v>1027436</v>
      </c>
      <c r="D43" s="109"/>
      <c r="E43" s="109"/>
      <c r="F43" s="109"/>
      <c r="G43" s="109"/>
      <c r="H43" s="109"/>
      <c r="I43" s="109"/>
      <c r="J43" s="75">
        <f>SUM(E43:I43)</f>
        <v>0</v>
      </c>
      <c r="K43" s="75">
        <f>IF(D43=0,C43+J43,D43+J43)</f>
        <v>1027436</v>
      </c>
      <c r="L43" s="109">
        <v>1077781</v>
      </c>
      <c r="M43" s="109">
        <v>1130592</v>
      </c>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 t="shared" ref="C45:M45" si="9">SUM(C46:C47)</f>
        <v>0</v>
      </c>
      <c r="D45" s="140">
        <f t="shared" si="9"/>
        <v>0</v>
      </c>
      <c r="E45" s="140">
        <f t="shared" si="9"/>
        <v>0</v>
      </c>
      <c r="F45" s="140">
        <f t="shared" si="9"/>
        <v>0</v>
      </c>
      <c r="G45" s="140">
        <f t="shared" si="9"/>
        <v>0</v>
      </c>
      <c r="H45" s="140">
        <f t="shared" si="9"/>
        <v>0</v>
      </c>
      <c r="I45" s="140">
        <f t="shared" si="9"/>
        <v>0</v>
      </c>
      <c r="J45" s="140">
        <f t="shared" si="9"/>
        <v>0</v>
      </c>
      <c r="K45" s="140">
        <f t="shared" si="9"/>
        <v>0</v>
      </c>
      <c r="L45" s="140">
        <f t="shared" si="9"/>
        <v>0</v>
      </c>
      <c r="M45" s="141">
        <f t="shared" si="9"/>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0">SUM(C50:C51)</f>
        <v>0</v>
      </c>
      <c r="D49" s="140">
        <f t="shared" si="10"/>
        <v>0</v>
      </c>
      <c r="E49" s="140">
        <f t="shared" si="10"/>
        <v>0</v>
      </c>
      <c r="F49" s="140">
        <f t="shared" si="10"/>
        <v>0</v>
      </c>
      <c r="G49" s="140">
        <f t="shared" si="10"/>
        <v>0</v>
      </c>
      <c r="H49" s="140">
        <f t="shared" si="10"/>
        <v>0</v>
      </c>
      <c r="I49" s="140">
        <f t="shared" si="10"/>
        <v>0</v>
      </c>
      <c r="J49" s="140">
        <f t="shared" si="10"/>
        <v>0</v>
      </c>
      <c r="K49" s="140">
        <f t="shared" si="10"/>
        <v>0</v>
      </c>
      <c r="L49" s="140">
        <f t="shared" si="10"/>
        <v>0</v>
      </c>
      <c r="M49" s="141">
        <f t="shared" si="10"/>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12659349</v>
      </c>
      <c r="D53" s="140">
        <f t="shared" ref="D53:M53" si="11">SUM(D54:D65)</f>
        <v>0</v>
      </c>
      <c r="E53" s="140">
        <f t="shared" si="11"/>
        <v>0</v>
      </c>
      <c r="F53" s="140">
        <f t="shared" si="11"/>
        <v>0</v>
      </c>
      <c r="G53" s="140">
        <f t="shared" si="11"/>
        <v>0</v>
      </c>
      <c r="H53" s="140">
        <f t="shared" si="11"/>
        <v>0</v>
      </c>
      <c r="I53" s="140">
        <f t="shared" si="11"/>
        <v>0</v>
      </c>
      <c r="J53" s="140">
        <f>SUM(J54:J65)</f>
        <v>0</v>
      </c>
      <c r="K53" s="140">
        <f t="shared" si="11"/>
        <v>12659349</v>
      </c>
      <c r="L53" s="140">
        <f t="shared" si="11"/>
        <v>14003074</v>
      </c>
      <c r="M53" s="141">
        <f t="shared" si="11"/>
        <v>14689226</v>
      </c>
      <c r="N53" s="127"/>
    </row>
    <row r="54" spans="1:14" ht="12.75" customHeight="1">
      <c r="A54" s="30" t="s">
        <v>519</v>
      </c>
      <c r="B54" s="73"/>
      <c r="C54" s="129">
        <v>5184375</v>
      </c>
      <c r="D54" s="109"/>
      <c r="E54" s="109"/>
      <c r="F54" s="109"/>
      <c r="G54" s="109"/>
      <c r="H54" s="109"/>
      <c r="I54" s="109"/>
      <c r="J54" s="75">
        <f>SUM(E54:I54)</f>
        <v>0</v>
      </c>
      <c r="K54" s="75">
        <f>IF(D54=0,C54+J54,D54+J54)</f>
        <v>5184375</v>
      </c>
      <c r="L54" s="109">
        <v>5438409</v>
      </c>
      <c r="M54" s="109">
        <v>5704891</v>
      </c>
      <c r="N54" s="127"/>
    </row>
    <row r="55" spans="1:14" ht="12.75" customHeight="1">
      <c r="A55" s="611" t="s">
        <v>520</v>
      </c>
      <c r="B55" s="73">
        <v>18</v>
      </c>
      <c r="C55" s="130">
        <f>C81</f>
        <v>0</v>
      </c>
      <c r="D55" s="131">
        <f t="shared" ref="D55:I55" si="12">D81</f>
        <v>0</v>
      </c>
      <c r="E55" s="131">
        <f t="shared" si="12"/>
        <v>0</v>
      </c>
      <c r="F55" s="131">
        <f t="shared" si="12"/>
        <v>0</v>
      </c>
      <c r="G55" s="131">
        <f t="shared" si="12"/>
        <v>0</v>
      </c>
      <c r="H55" s="131">
        <f t="shared" si="12"/>
        <v>0</v>
      </c>
      <c r="I55" s="131">
        <f t="shared" si="12"/>
        <v>0</v>
      </c>
      <c r="J55" s="171">
        <f>SUM(E55:I55)</f>
        <v>0</v>
      </c>
      <c r="K55" s="171">
        <f>IF(D55=0,C55+J55,D55+J55)</f>
        <v>0</v>
      </c>
      <c r="L55" s="131">
        <f>L81</f>
        <v>0</v>
      </c>
      <c r="M55" s="132">
        <f>M81</f>
        <v>0</v>
      </c>
      <c r="N55" s="127"/>
    </row>
    <row r="56" spans="1:14" ht="12.75" customHeight="1">
      <c r="A56" s="30" t="s">
        <v>521</v>
      </c>
      <c r="B56" s="136"/>
      <c r="C56" s="129">
        <v>684913</v>
      </c>
      <c r="D56" s="109"/>
      <c r="E56" s="109"/>
      <c r="F56" s="109"/>
      <c r="G56" s="109"/>
      <c r="H56" s="109"/>
      <c r="I56" s="109"/>
      <c r="J56" s="75">
        <f t="shared" ref="J56:J65" si="13">SUM(E56:I56)</f>
        <v>0</v>
      </c>
      <c r="K56" s="75">
        <f t="shared" ref="K56:K65" si="14">IF(D56=0,C56+J56,D56+J56)</f>
        <v>684913</v>
      </c>
      <c r="L56" s="109">
        <v>718473</v>
      </c>
      <c r="M56" s="109">
        <v>753679</v>
      </c>
      <c r="N56" s="127"/>
    </row>
    <row r="57" spans="1:14" ht="12.75" customHeight="1">
      <c r="A57" s="30" t="s">
        <v>522</v>
      </c>
      <c r="B57" s="73"/>
      <c r="C57" s="129">
        <v>469889</v>
      </c>
      <c r="D57" s="109"/>
      <c r="E57" s="109"/>
      <c r="F57" s="109"/>
      <c r="G57" s="109"/>
      <c r="H57" s="109"/>
      <c r="I57" s="109"/>
      <c r="J57" s="75">
        <f t="shared" si="13"/>
        <v>0</v>
      </c>
      <c r="K57" s="75">
        <f t="shared" si="14"/>
        <v>469889</v>
      </c>
      <c r="L57" s="109">
        <v>492914</v>
      </c>
      <c r="M57" s="109">
        <v>517067</v>
      </c>
      <c r="N57" s="127"/>
    </row>
    <row r="58" spans="1:14" ht="12.75" customHeight="1">
      <c r="A58" s="30" t="s">
        <v>523</v>
      </c>
      <c r="B58" s="73"/>
      <c r="C58" s="129">
        <v>320508</v>
      </c>
      <c r="D58" s="109"/>
      <c r="E58" s="109"/>
      <c r="F58" s="109"/>
      <c r="G58" s="109"/>
      <c r="H58" s="109"/>
      <c r="I58" s="109"/>
      <c r="J58" s="75">
        <f t="shared" si="13"/>
        <v>0</v>
      </c>
      <c r="K58" s="75">
        <f t="shared" si="14"/>
        <v>320508</v>
      </c>
      <c r="L58" s="109">
        <v>1059631</v>
      </c>
      <c r="M58" s="109">
        <v>1111553</v>
      </c>
      <c r="N58" s="127"/>
    </row>
    <row r="59" spans="1:14" ht="12.75" customHeight="1">
      <c r="A59" s="30" t="s">
        <v>524</v>
      </c>
      <c r="B59" s="73"/>
      <c r="C59" s="129"/>
      <c r="D59" s="109"/>
      <c r="E59" s="109"/>
      <c r="F59" s="109"/>
      <c r="G59" s="109"/>
      <c r="H59" s="109"/>
      <c r="I59" s="109"/>
      <c r="J59" s="75">
        <f t="shared" si="13"/>
        <v>0</v>
      </c>
      <c r="K59" s="75">
        <f t="shared" si="14"/>
        <v>0</v>
      </c>
      <c r="L59" s="109"/>
      <c r="M59" s="109"/>
      <c r="N59" s="127"/>
    </row>
    <row r="60" spans="1:14" ht="12.75" customHeight="1">
      <c r="A60" s="30" t="s">
        <v>525</v>
      </c>
      <c r="B60" s="73"/>
      <c r="C60" s="129"/>
      <c r="D60" s="109"/>
      <c r="E60" s="109"/>
      <c r="F60" s="109"/>
      <c r="G60" s="109"/>
      <c r="H60" s="109"/>
      <c r="I60" s="109"/>
      <c r="J60" s="75">
        <f t="shared" si="13"/>
        <v>0</v>
      </c>
      <c r="K60" s="75">
        <f t="shared" si="14"/>
        <v>0</v>
      </c>
      <c r="L60" s="109"/>
      <c r="M60" s="109"/>
      <c r="N60" s="127"/>
    </row>
    <row r="61" spans="1:14" ht="12.75" customHeight="1">
      <c r="A61" s="30" t="s">
        <v>526</v>
      </c>
      <c r="B61" s="73"/>
      <c r="C61" s="129">
        <v>1812257</v>
      </c>
      <c r="D61" s="109"/>
      <c r="E61" s="109"/>
      <c r="F61" s="109"/>
      <c r="G61" s="109"/>
      <c r="H61" s="109"/>
      <c r="I61" s="109"/>
      <c r="J61" s="75">
        <f t="shared" si="13"/>
        <v>0</v>
      </c>
      <c r="K61" s="75">
        <f t="shared" si="14"/>
        <v>1812257</v>
      </c>
      <c r="L61" s="109">
        <v>1901057</v>
      </c>
      <c r="M61" s="109">
        <v>1994209</v>
      </c>
      <c r="N61" s="127"/>
    </row>
    <row r="62" spans="1:14" ht="12.75" customHeight="1">
      <c r="A62" s="30" t="s">
        <v>527</v>
      </c>
      <c r="B62" s="73"/>
      <c r="C62" s="129"/>
      <c r="D62" s="109"/>
      <c r="E62" s="109"/>
      <c r="F62" s="109"/>
      <c r="G62" s="109"/>
      <c r="H62" s="109"/>
      <c r="I62" s="109"/>
      <c r="J62" s="75">
        <f t="shared" si="13"/>
        <v>0</v>
      </c>
      <c r="K62" s="75">
        <f t="shared" si="14"/>
        <v>0</v>
      </c>
      <c r="L62" s="109"/>
      <c r="M62" s="109"/>
      <c r="N62" s="127"/>
    </row>
    <row r="63" spans="1:14" ht="12.75" customHeight="1">
      <c r="A63" s="30" t="s">
        <v>528</v>
      </c>
      <c r="B63" s="73"/>
      <c r="C63" s="129"/>
      <c r="D63" s="109"/>
      <c r="E63" s="109"/>
      <c r="F63" s="109"/>
      <c r="G63" s="109"/>
      <c r="H63" s="109"/>
      <c r="I63" s="109"/>
      <c r="J63" s="75">
        <f t="shared" si="13"/>
        <v>0</v>
      </c>
      <c r="K63" s="75">
        <f t="shared" si="14"/>
        <v>0</v>
      </c>
      <c r="L63" s="109"/>
      <c r="M63" s="109"/>
      <c r="N63" s="127"/>
    </row>
    <row r="64" spans="1:14" ht="12.75" customHeight="1">
      <c r="A64" s="30" t="s">
        <v>529</v>
      </c>
      <c r="B64" s="73"/>
      <c r="C64" s="129"/>
      <c r="D64" s="109"/>
      <c r="E64" s="109"/>
      <c r="F64" s="109"/>
      <c r="G64" s="109"/>
      <c r="H64" s="109"/>
      <c r="I64" s="109"/>
      <c r="J64" s="75">
        <f t="shared" si="13"/>
        <v>0</v>
      </c>
      <c r="K64" s="75">
        <f t="shared" si="14"/>
        <v>0</v>
      </c>
      <c r="L64" s="109"/>
      <c r="M64" s="109"/>
      <c r="N64" s="127"/>
    </row>
    <row r="65" spans="1:14" ht="12.75" customHeight="1">
      <c r="A65" s="128" t="s">
        <v>673</v>
      </c>
      <c r="B65" s="73"/>
      <c r="C65" s="129">
        <v>4187407</v>
      </c>
      <c r="D65" s="109"/>
      <c r="E65" s="109"/>
      <c r="F65" s="109"/>
      <c r="G65" s="109"/>
      <c r="H65" s="109"/>
      <c r="I65" s="109"/>
      <c r="J65" s="75">
        <f t="shared" si="13"/>
        <v>0</v>
      </c>
      <c r="K65" s="75">
        <f t="shared" si="14"/>
        <v>4187407</v>
      </c>
      <c r="L65" s="109">
        <v>4392590</v>
      </c>
      <c r="M65" s="109">
        <v>4607827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5">SUM(C68:C69)</f>
        <v>0</v>
      </c>
      <c r="D67" s="140">
        <f t="shared" si="15"/>
        <v>0</v>
      </c>
      <c r="E67" s="140">
        <f t="shared" si="15"/>
        <v>0</v>
      </c>
      <c r="F67" s="140">
        <f t="shared" si="15"/>
        <v>0</v>
      </c>
      <c r="G67" s="140">
        <f t="shared" si="15"/>
        <v>0</v>
      </c>
      <c r="H67" s="140">
        <f t="shared" si="15"/>
        <v>0</v>
      </c>
      <c r="I67" s="140">
        <f t="shared" si="15"/>
        <v>0</v>
      </c>
      <c r="J67" s="140">
        <f>SUM(J68:J69)</f>
        <v>0</v>
      </c>
      <c r="K67" s="140">
        <f t="shared" si="15"/>
        <v>0</v>
      </c>
      <c r="L67" s="140">
        <f t="shared" si="15"/>
        <v>0</v>
      </c>
      <c r="M67" s="141">
        <f t="shared" si="15"/>
        <v>0</v>
      </c>
      <c r="N67" s="127"/>
    </row>
    <row r="68" spans="1:14" ht="12.75" customHeight="1">
      <c r="A68" s="838"/>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6">SUM(C72:C73)</f>
        <v>0</v>
      </c>
      <c r="D71" s="140">
        <f t="shared" si="16"/>
        <v>0</v>
      </c>
      <c r="E71" s="140">
        <f t="shared" si="16"/>
        <v>0</v>
      </c>
      <c r="F71" s="140">
        <f t="shared" si="16"/>
        <v>0</v>
      </c>
      <c r="G71" s="140">
        <f t="shared" si="16"/>
        <v>0</v>
      </c>
      <c r="H71" s="140">
        <f t="shared" si="16"/>
        <v>0</v>
      </c>
      <c r="I71" s="140">
        <f t="shared" si="16"/>
        <v>0</v>
      </c>
      <c r="J71" s="140">
        <f t="shared" si="16"/>
        <v>0</v>
      </c>
      <c r="K71" s="140">
        <f t="shared" si="16"/>
        <v>0</v>
      </c>
      <c r="L71" s="140">
        <f t="shared" si="16"/>
        <v>0</v>
      </c>
      <c r="M71" s="141">
        <f t="shared" si="16"/>
        <v>0</v>
      </c>
      <c r="N71" s="127"/>
    </row>
    <row r="72" spans="1:14" ht="12.75" customHeight="1">
      <c r="A72" s="838"/>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7">SUM(C76:C77)</f>
        <v>18248</v>
      </c>
      <c r="D75" s="140">
        <f t="shared" si="17"/>
        <v>0</v>
      </c>
      <c r="E75" s="140">
        <f t="shared" si="17"/>
        <v>0</v>
      </c>
      <c r="F75" s="140">
        <f t="shared" si="17"/>
        <v>0</v>
      </c>
      <c r="G75" s="140">
        <f t="shared" si="17"/>
        <v>0</v>
      </c>
      <c r="H75" s="140">
        <f t="shared" si="17"/>
        <v>0</v>
      </c>
      <c r="I75" s="140">
        <f t="shared" si="17"/>
        <v>0</v>
      </c>
      <c r="J75" s="140">
        <f>SUM(J76:J77)</f>
        <v>0</v>
      </c>
      <c r="K75" s="140">
        <f t="shared" si="17"/>
        <v>18248</v>
      </c>
      <c r="L75" s="140">
        <f t="shared" si="17"/>
        <v>19142</v>
      </c>
      <c r="M75" s="141">
        <f t="shared" si="17"/>
        <v>20080</v>
      </c>
      <c r="N75" s="127"/>
    </row>
    <row r="76" spans="1:14" ht="12.75" customHeight="1">
      <c r="A76" s="30" t="s">
        <v>530</v>
      </c>
      <c r="B76" s="73"/>
      <c r="C76" s="839">
        <v>18248</v>
      </c>
      <c r="D76" s="840"/>
      <c r="E76" s="840"/>
      <c r="F76" s="840"/>
      <c r="G76" s="840"/>
      <c r="H76" s="840"/>
      <c r="I76" s="840"/>
      <c r="J76" s="140">
        <f>SUM(E76:I76)</f>
        <v>0</v>
      </c>
      <c r="K76" s="140">
        <f>IF(D76=0,C76+J76,D76+J76)</f>
        <v>18248</v>
      </c>
      <c r="L76" s="840">
        <v>19142</v>
      </c>
      <c r="M76" s="840">
        <v>20080</v>
      </c>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5.5" customHeight="1">
      <c r="A79" s="890" t="s">
        <v>1623</v>
      </c>
      <c r="B79" s="155">
        <v>1</v>
      </c>
      <c r="C79" s="887">
        <f t="shared" ref="C79:I79" si="18">C8+C29+C45+C49+C53+C75+C67+C71</f>
        <v>110726402</v>
      </c>
      <c r="D79" s="888">
        <f t="shared" si="18"/>
        <v>0</v>
      </c>
      <c r="E79" s="888">
        <f t="shared" si="18"/>
        <v>0</v>
      </c>
      <c r="F79" s="888">
        <f t="shared" si="18"/>
        <v>0</v>
      </c>
      <c r="G79" s="888">
        <f t="shared" si="18"/>
        <v>0</v>
      </c>
      <c r="H79" s="888">
        <f t="shared" si="18"/>
        <v>0</v>
      </c>
      <c r="I79" s="888">
        <f t="shared" si="18"/>
        <v>0</v>
      </c>
      <c r="J79" s="888">
        <f>J8+J29+J45+J49+J53+J71+J75</f>
        <v>0</v>
      </c>
      <c r="K79" s="888">
        <f>K8+K29+K45+K49+K53+K71+K75</f>
        <v>110726402</v>
      </c>
      <c r="L79" s="888">
        <f>L8+L29+L45+L49+L53+L75+L67+L71</f>
        <v>127384502</v>
      </c>
      <c r="M79" s="889">
        <f>M8+M29+M45+M49+M53+M75+M67+M71</f>
        <v>135825132</v>
      </c>
      <c r="N79" s="127"/>
    </row>
    <row r="80" spans="1:14" ht="12.75" customHeight="1">
      <c r="A80" s="520"/>
      <c r="B80" s="120"/>
      <c r="C80" s="521"/>
      <c r="D80" s="521"/>
      <c r="E80" s="521"/>
      <c r="F80" s="521"/>
      <c r="G80" s="521"/>
      <c r="H80" s="521"/>
      <c r="I80" s="521"/>
      <c r="J80" s="521"/>
      <c r="K80" s="521"/>
      <c r="L80" s="521"/>
      <c r="M80" s="521"/>
      <c r="N80" s="127"/>
    </row>
    <row r="81" spans="1:14" ht="12.75" customHeight="1">
      <c r="A81" s="879" t="s">
        <v>520</v>
      </c>
      <c r="B81" s="311">
        <v>18</v>
      </c>
      <c r="C81" s="880">
        <f t="shared" ref="C81:I81" si="19">SUM(C82:C85)</f>
        <v>0</v>
      </c>
      <c r="D81" s="881">
        <f t="shared" si="19"/>
        <v>0</v>
      </c>
      <c r="E81" s="881">
        <f t="shared" si="19"/>
        <v>0</v>
      </c>
      <c r="F81" s="881">
        <f t="shared" si="19"/>
        <v>0</v>
      </c>
      <c r="G81" s="881">
        <f t="shared" si="19"/>
        <v>0</v>
      </c>
      <c r="H81" s="881">
        <f t="shared" si="19"/>
        <v>0</v>
      </c>
      <c r="I81" s="881">
        <f t="shared" si="19"/>
        <v>0</v>
      </c>
      <c r="J81" s="881">
        <f>SUM(E81:I81)</f>
        <v>0</v>
      </c>
      <c r="K81" s="881">
        <f>IF(D81=0,C81+J81,D81+J81)</f>
        <v>0</v>
      </c>
      <c r="L81" s="881">
        <f>SUM(L82:L85)</f>
        <v>0</v>
      </c>
      <c r="M81" s="882">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5" t="s">
        <v>1362</v>
      </c>
      <c r="B87" s="779"/>
      <c r="C87" s="782"/>
      <c r="D87" s="782"/>
      <c r="E87" s="783"/>
      <c r="F87" s="783"/>
      <c r="G87" s="783"/>
      <c r="H87" s="783"/>
      <c r="I87" s="78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158" t="s">
        <v>535</v>
      </c>
      <c r="B90" s="159"/>
      <c r="C90" s="94"/>
      <c r="D90" s="94"/>
      <c r="E90" s="94"/>
      <c r="F90" s="94"/>
      <c r="G90" s="94"/>
      <c r="H90" s="94"/>
      <c r="I90" s="94"/>
      <c r="J90" s="94"/>
      <c r="K90" s="94"/>
      <c r="L90" s="94"/>
      <c r="M90" s="94"/>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4" t="s">
        <v>1104</v>
      </c>
      <c r="B93" s="1324"/>
      <c r="C93" s="1324"/>
      <c r="D93" s="1324"/>
      <c r="E93" s="1324"/>
      <c r="F93" s="1324"/>
      <c r="G93" s="1324"/>
      <c r="H93" s="1324"/>
      <c r="I93" s="1324"/>
      <c r="J93" s="1324"/>
      <c r="K93" s="1324"/>
      <c r="L93" s="1324"/>
      <c r="M93" s="1324"/>
      <c r="N93" s="127"/>
    </row>
    <row r="94" spans="1:14" ht="12.75" customHeight="1">
      <c r="A94" s="1324" t="s">
        <v>1110</v>
      </c>
      <c r="B94" s="1324"/>
      <c r="C94" s="1324"/>
      <c r="D94" s="1324"/>
      <c r="E94" s="1324"/>
      <c r="F94" s="1324"/>
      <c r="G94" s="1324"/>
      <c r="H94" s="1324"/>
      <c r="I94" s="1324"/>
      <c r="J94" s="1324"/>
      <c r="K94" s="855"/>
      <c r="L94" s="855"/>
      <c r="M94" s="855"/>
      <c r="N94" s="127"/>
    </row>
    <row r="95" spans="1:14" ht="12.75" customHeight="1">
      <c r="A95" s="1324" t="s">
        <v>1111</v>
      </c>
      <c r="B95" s="1324"/>
      <c r="C95" s="1324"/>
      <c r="D95" s="1324"/>
      <c r="E95" s="1324"/>
      <c r="F95" s="1324"/>
      <c r="G95" s="1324"/>
      <c r="H95" s="1324"/>
      <c r="I95" s="1324"/>
      <c r="J95" s="1324"/>
      <c r="K95" s="855"/>
      <c r="L95" s="855"/>
      <c r="M95" s="855"/>
      <c r="N95" s="127"/>
    </row>
    <row r="96" spans="1:14" ht="12.75" customHeight="1">
      <c r="A96" s="1324" t="s">
        <v>1159</v>
      </c>
      <c r="B96" s="1324"/>
      <c r="C96" s="1324"/>
      <c r="D96" s="1324"/>
      <c r="E96" s="1324"/>
      <c r="F96" s="1324"/>
      <c r="G96" s="1324"/>
      <c r="H96" s="1324"/>
      <c r="I96" s="1324"/>
      <c r="J96" s="1324"/>
      <c r="K96" s="1324"/>
      <c r="L96" s="1324"/>
      <c r="M96" s="1324"/>
      <c r="N96" s="127"/>
    </row>
    <row r="97" spans="1:14" ht="12.75" customHeight="1">
      <c r="A97" s="158" t="s">
        <v>1160</v>
      </c>
      <c r="B97" s="159"/>
      <c r="C97" s="94"/>
      <c r="D97" s="94"/>
      <c r="E97" s="94"/>
      <c r="F97" s="94"/>
      <c r="G97" s="94"/>
      <c r="H97" s="94"/>
      <c r="I97" s="94"/>
      <c r="J97" s="94"/>
      <c r="K97" s="94"/>
      <c r="L97" s="94"/>
      <c r="M97" s="94"/>
      <c r="N97" s="127"/>
    </row>
    <row r="98" spans="1:14" ht="12.75" customHeight="1">
      <c r="A98" s="1324" t="s">
        <v>1161</v>
      </c>
      <c r="B98" s="1324"/>
      <c r="C98" s="1324"/>
      <c r="D98" s="1324"/>
      <c r="E98" s="1324"/>
      <c r="F98" s="1324"/>
      <c r="G98" s="1324"/>
      <c r="H98" s="1324"/>
      <c r="I98" s="1324"/>
      <c r="J98" s="1324"/>
      <c r="K98" s="1324"/>
      <c r="L98" s="1324"/>
      <c r="M98" s="1324"/>
      <c r="N98" s="127"/>
    </row>
    <row r="99" spans="1:14" ht="12.75" customHeight="1">
      <c r="A99" s="158" t="s">
        <v>1162</v>
      </c>
      <c r="B99" s="159"/>
      <c r="C99" s="94"/>
      <c r="D99" s="94"/>
      <c r="E99" s="94"/>
      <c r="F99" s="94"/>
      <c r="G99" s="94"/>
      <c r="H99" s="94"/>
      <c r="I99" s="94"/>
      <c r="J99" s="94"/>
      <c r="K99" s="94"/>
      <c r="L99" s="94"/>
      <c r="M99" s="94"/>
      <c r="N99" s="127"/>
    </row>
    <row r="100" spans="1:14" ht="12.75" customHeight="1">
      <c r="A100" s="1324" t="s">
        <v>1163</v>
      </c>
      <c r="B100" s="1324"/>
      <c r="C100" s="1324"/>
      <c r="D100" s="1324"/>
      <c r="E100" s="1324"/>
      <c r="F100" s="1324"/>
      <c r="G100" s="1324"/>
      <c r="H100" s="1324"/>
      <c r="I100" s="1324"/>
      <c r="J100" s="1324"/>
      <c r="K100" s="1324"/>
      <c r="L100" s="1324"/>
      <c r="M100" s="1324"/>
      <c r="N100" s="127"/>
    </row>
    <row r="101" spans="1:14" ht="12.75" customHeight="1">
      <c r="A101" s="856" t="s">
        <v>1454</v>
      </c>
      <c r="B101" s="811"/>
      <c r="C101" s="811"/>
      <c r="D101" s="811"/>
      <c r="E101" s="811"/>
      <c r="F101" s="811"/>
      <c r="G101" s="811"/>
      <c r="H101" s="811"/>
      <c r="I101" s="811"/>
      <c r="J101" s="811"/>
      <c r="K101" s="811"/>
      <c r="L101" s="811"/>
      <c r="M101" s="811"/>
      <c r="N101" s="127"/>
    </row>
    <row r="102" spans="1:14" ht="12.75" customHeight="1">
      <c r="A102" s="856" t="s">
        <v>1451</v>
      </c>
      <c r="B102" s="811"/>
      <c r="C102" s="811"/>
      <c r="D102" s="811"/>
      <c r="E102" s="811"/>
      <c r="F102" s="811"/>
      <c r="G102" s="811"/>
      <c r="H102" s="811"/>
      <c r="I102" s="811"/>
      <c r="J102" s="811"/>
      <c r="K102" s="811"/>
      <c r="L102" s="811"/>
      <c r="M102" s="811"/>
      <c r="N102" s="127"/>
    </row>
    <row r="103" spans="1:14" ht="12.75" customHeight="1">
      <c r="A103" s="856" t="s">
        <v>1452</v>
      </c>
      <c r="B103" s="811"/>
      <c r="C103" s="811"/>
      <c r="D103" s="811"/>
      <c r="E103" s="811"/>
      <c r="F103" s="811"/>
      <c r="G103" s="811"/>
      <c r="H103" s="811"/>
      <c r="I103" s="811"/>
      <c r="J103" s="811"/>
      <c r="K103" s="811"/>
      <c r="L103" s="811"/>
      <c r="M103" s="811"/>
      <c r="N103" s="127"/>
    </row>
    <row r="104" spans="1:14" ht="12.75" customHeight="1">
      <c r="A104" s="856" t="s">
        <v>1456</v>
      </c>
      <c r="B104" s="811"/>
      <c r="C104" s="811"/>
      <c r="D104" s="811"/>
      <c r="E104" s="811"/>
      <c r="F104" s="811"/>
      <c r="G104" s="811"/>
      <c r="H104" s="811"/>
      <c r="I104" s="811"/>
      <c r="J104" s="811"/>
      <c r="K104" s="811"/>
      <c r="L104" s="811"/>
      <c r="M104" s="811"/>
      <c r="N104" s="127"/>
    </row>
    <row r="105" spans="1:14" ht="11.25" customHeight="1">
      <c r="A105" s="349"/>
      <c r="B105" s="810"/>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812" t="s">
        <v>726</v>
      </c>
      <c r="B107" s="159"/>
      <c r="C107" s="813">
        <f>C79-'B5-Capex'!C65</f>
        <v>-54903445</v>
      </c>
      <c r="D107" s="813"/>
      <c r="E107" s="813"/>
      <c r="F107" s="813"/>
      <c r="G107" s="813"/>
      <c r="H107" s="813"/>
      <c r="I107" s="813"/>
      <c r="J107" s="813"/>
      <c r="K107" s="813"/>
      <c r="L107" s="813"/>
      <c r="M107" s="813">
        <f>M79-'B5-Capex'!M65</f>
        <v>-80427715</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sheetPr codeName="Sheet6" enableFormatConditionsCalculation="0">
    <tabColor indexed="42"/>
    <pageSetUpPr fitToPage="1"/>
  </sheetPr>
  <dimension ref="A1:N123"/>
  <sheetViews>
    <sheetView showGridLines="0" workbookViewId="0">
      <pane xSplit="2" ySplit="4" topLeftCell="G56" activePane="bottomRight" state="frozen"/>
      <selection activeCell="M17" sqref="M17:M63"/>
      <selection pane="topRight" activeCell="M17" sqref="M17:M63"/>
      <selection pane="bottomLeft" activeCell="M17" sqref="M17:M63"/>
      <selection pane="bottomRight" activeCell="A62" sqref="A62:L64"/>
    </sheetView>
  </sheetViews>
  <sheetFormatPr defaultRowHeight="12.7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c r="A1" s="614" t="str">
        <f>muni&amp;" - "&amp;ADJB19&amp;" - "&amp;Date</f>
        <v>LIM333 Greater Tzaneen - Supporting Table SB19 Consolidated List of capital programmes and projects affected by Adjustments Budget - 26 FEBRUARY 2014</v>
      </c>
      <c r="B1" s="614"/>
      <c r="C1" s="614"/>
      <c r="D1" s="615"/>
      <c r="E1" s="615"/>
      <c r="F1" s="614"/>
      <c r="G1" s="614"/>
      <c r="H1" s="614"/>
      <c r="I1" s="614"/>
      <c r="J1" s="614"/>
      <c r="K1" s="614"/>
      <c r="L1" s="614"/>
      <c r="M1" s="614"/>
      <c r="N1" s="614"/>
    </row>
    <row r="2" spans="1:14" ht="38.25" customHeight="1">
      <c r="A2" s="1365" t="s">
        <v>538</v>
      </c>
      <c r="B2" s="1367" t="s">
        <v>539</v>
      </c>
      <c r="C2" s="1367" t="s">
        <v>540</v>
      </c>
      <c r="D2" s="1078" t="s">
        <v>1576</v>
      </c>
      <c r="E2" s="1057" t="s">
        <v>1572</v>
      </c>
      <c r="F2" s="1057" t="s">
        <v>1560</v>
      </c>
      <c r="G2" s="1080" t="s">
        <v>1584</v>
      </c>
      <c r="H2" s="1082" t="s">
        <v>1571</v>
      </c>
      <c r="I2" s="1319" t="str">
        <f>Head3a</f>
        <v>Medium Term Revenue and Expenditure Framework</v>
      </c>
      <c r="J2" s="1320"/>
      <c r="K2" s="1320"/>
      <c r="L2" s="1320"/>
      <c r="M2" s="1320"/>
      <c r="N2" s="1362"/>
    </row>
    <row r="3" spans="1:14">
      <c r="A3" s="1366"/>
      <c r="B3" s="1368"/>
      <c r="C3" s="1368" t="s">
        <v>541</v>
      </c>
      <c r="D3" s="1079"/>
      <c r="F3" s="1079"/>
      <c r="G3" s="1081"/>
      <c r="H3" s="475"/>
      <c r="I3" s="1363" t="str">
        <f>Head9</f>
        <v>Budget Year 2013/14</v>
      </c>
      <c r="J3" s="1364"/>
      <c r="K3" s="1363" t="str">
        <f>Head10</f>
        <v>Budget Year +1 2014/15</v>
      </c>
      <c r="L3" s="1364"/>
      <c r="M3" s="1363" t="str">
        <f>Head11</f>
        <v>Budget Year +2 2015/16</v>
      </c>
      <c r="N3" s="1364"/>
    </row>
    <row r="4" spans="1:14" ht="25.5">
      <c r="A4" s="18" t="s">
        <v>542</v>
      </c>
      <c r="B4" s="1369"/>
      <c r="C4" s="1369" t="s">
        <v>543</v>
      </c>
      <c r="D4" s="1058">
        <v>3</v>
      </c>
      <c r="E4" s="1058">
        <v>6</v>
      </c>
      <c r="F4" s="1058">
        <v>4</v>
      </c>
      <c r="G4" s="1089">
        <v>4</v>
      </c>
      <c r="H4" s="1083">
        <v>5</v>
      </c>
      <c r="I4" s="616" t="str">
        <f>Head6</f>
        <v>Original Budget</v>
      </c>
      <c r="J4" s="617" t="str">
        <f>Head7</f>
        <v>Adjusted Budget</v>
      </c>
      <c r="K4" s="616" t="str">
        <f>Head6</f>
        <v>Original Budget</v>
      </c>
      <c r="L4" s="617" t="str">
        <f>Head7</f>
        <v>Adjusted Budget</v>
      </c>
      <c r="M4" s="616" t="str">
        <f>Head6</f>
        <v>Original Budget</v>
      </c>
      <c r="N4" s="618" t="str">
        <f>Head7</f>
        <v>Adjusted Budget</v>
      </c>
    </row>
    <row r="5" spans="1:14" ht="11.25" customHeight="1">
      <c r="A5" s="619" t="s">
        <v>544</v>
      </c>
      <c r="B5" s="620"/>
      <c r="C5" s="621"/>
      <c r="D5" s="621"/>
      <c r="E5" s="621"/>
      <c r="F5" s="622"/>
      <c r="G5" s="1076"/>
      <c r="H5" s="1084"/>
      <c r="I5" s="623"/>
      <c r="J5" s="624"/>
      <c r="K5" s="623"/>
      <c r="L5" s="625"/>
      <c r="M5" s="626"/>
      <c r="N5" s="625"/>
    </row>
    <row r="6" spans="1:14" ht="11.25" customHeight="1">
      <c r="A6" s="627" t="s">
        <v>545</v>
      </c>
      <c r="B6" s="628"/>
      <c r="C6" s="629"/>
      <c r="D6" s="629"/>
      <c r="E6" s="629"/>
      <c r="F6" s="1100"/>
      <c r="G6" s="1101"/>
      <c r="H6" s="1085"/>
      <c r="I6" s="630"/>
      <c r="J6" s="631"/>
      <c r="K6" s="630"/>
      <c r="L6" s="632"/>
      <c r="M6" s="633"/>
      <c r="N6" s="632"/>
    </row>
    <row r="7" spans="1:14" ht="11.25" customHeight="1">
      <c r="A7" s="627" t="s">
        <v>2009</v>
      </c>
      <c r="B7" s="1274" t="s">
        <v>1998</v>
      </c>
      <c r="C7" s="1275"/>
      <c r="D7" s="1275"/>
      <c r="E7" s="1275"/>
      <c r="F7" s="1276" t="s">
        <v>487</v>
      </c>
      <c r="G7" s="1277" t="s">
        <v>488</v>
      </c>
      <c r="H7" s="1278"/>
      <c r="I7" s="630"/>
      <c r="J7" s="631">
        <v>1025000</v>
      </c>
      <c r="K7" s="630"/>
      <c r="L7" s="632"/>
      <c r="M7" s="633"/>
      <c r="N7" s="632"/>
    </row>
    <row r="8" spans="1:14" ht="11.25" customHeight="1">
      <c r="A8" s="627" t="s">
        <v>2009</v>
      </c>
      <c r="B8" s="1274" t="s">
        <v>1999</v>
      </c>
      <c r="C8" s="1275"/>
      <c r="D8" s="1275"/>
      <c r="E8" s="1275"/>
      <c r="F8" s="1276" t="s">
        <v>487</v>
      </c>
      <c r="G8" s="1277" t="s">
        <v>488</v>
      </c>
      <c r="H8" s="1278"/>
      <c r="I8" s="630"/>
      <c r="J8" s="631">
        <v>950000</v>
      </c>
      <c r="K8" s="630"/>
      <c r="L8" s="632"/>
      <c r="M8" s="633"/>
      <c r="N8" s="632"/>
    </row>
    <row r="9" spans="1:14" ht="11.25" customHeight="1">
      <c r="A9" s="627" t="s">
        <v>2009</v>
      </c>
      <c r="B9" s="1280" t="s">
        <v>2000</v>
      </c>
      <c r="C9" s="1281"/>
      <c r="D9" s="1281"/>
      <c r="E9" s="1275"/>
      <c r="F9" s="1276" t="s">
        <v>487</v>
      </c>
      <c r="G9" s="1277" t="s">
        <v>488</v>
      </c>
      <c r="H9" s="1278"/>
      <c r="I9" s="400"/>
      <c r="J9" s="399">
        <v>1380000</v>
      </c>
      <c r="K9" s="400"/>
      <c r="L9" s="110"/>
      <c r="M9" s="129"/>
      <c r="N9" s="110"/>
    </row>
    <row r="10" spans="1:14" ht="11.25" customHeight="1">
      <c r="A10" s="627" t="s">
        <v>2009</v>
      </c>
      <c r="B10" s="1280" t="s">
        <v>2001</v>
      </c>
      <c r="C10" s="1281"/>
      <c r="D10" s="1281"/>
      <c r="E10" s="1275"/>
      <c r="F10" s="1276" t="s">
        <v>487</v>
      </c>
      <c r="G10" s="1277" t="s">
        <v>488</v>
      </c>
      <c r="H10" s="1278"/>
      <c r="I10" s="400"/>
      <c r="J10" s="399">
        <v>2200000</v>
      </c>
      <c r="K10" s="400"/>
      <c r="L10" s="110"/>
      <c r="M10" s="129"/>
      <c r="N10" s="110"/>
    </row>
    <row r="11" spans="1:14" ht="11.25" customHeight="1">
      <c r="A11" s="627" t="s">
        <v>2009</v>
      </c>
      <c r="B11" s="1280" t="s">
        <v>2011</v>
      </c>
      <c r="C11" s="1281"/>
      <c r="D11" s="1281"/>
      <c r="E11" s="1275"/>
      <c r="F11" s="1276" t="s">
        <v>487</v>
      </c>
      <c r="G11" s="1277" t="s">
        <v>488</v>
      </c>
      <c r="H11" s="1278"/>
      <c r="I11" s="400"/>
      <c r="J11" s="399">
        <v>2000000</v>
      </c>
      <c r="K11" s="400"/>
      <c r="L11" s="110"/>
      <c r="M11" s="129"/>
      <c r="N11" s="110"/>
    </row>
    <row r="12" spans="1:14" ht="11.25" customHeight="1">
      <c r="A12" s="627" t="s">
        <v>2009</v>
      </c>
      <c r="B12" s="1280" t="s">
        <v>2002</v>
      </c>
      <c r="C12" s="1281"/>
      <c r="D12" s="1281"/>
      <c r="E12" s="1275"/>
      <c r="F12" s="1276" t="s">
        <v>487</v>
      </c>
      <c r="G12" s="1277" t="s">
        <v>488</v>
      </c>
      <c r="H12" s="1278"/>
      <c r="I12" s="400"/>
      <c r="J12" s="399">
        <v>2000000</v>
      </c>
      <c r="K12" s="400"/>
      <c r="L12" s="110"/>
      <c r="M12" s="129"/>
      <c r="N12" s="110"/>
    </row>
    <row r="13" spans="1:14" ht="11.25" customHeight="1">
      <c r="A13" s="634"/>
      <c r="B13" s="1280"/>
      <c r="C13" s="1281"/>
      <c r="D13" s="1281"/>
      <c r="E13" s="1275"/>
      <c r="F13" s="1279"/>
      <c r="G13" s="1277"/>
      <c r="H13" s="1282"/>
      <c r="I13" s="400"/>
      <c r="J13" s="399"/>
      <c r="K13" s="400"/>
      <c r="L13" s="110"/>
      <c r="M13" s="129"/>
      <c r="N13" s="110"/>
    </row>
    <row r="14" spans="1:14" ht="11.25" customHeight="1">
      <c r="A14" s="634"/>
      <c r="B14" s="1280"/>
      <c r="C14" s="1281"/>
      <c r="D14" s="1281"/>
      <c r="E14" s="1275"/>
      <c r="F14" s="1279"/>
      <c r="G14" s="1277"/>
      <c r="H14" s="1278"/>
      <c r="I14" s="400"/>
      <c r="J14" s="399"/>
      <c r="K14" s="400"/>
      <c r="L14" s="110"/>
      <c r="M14" s="129"/>
      <c r="N14" s="110"/>
    </row>
    <row r="15" spans="1:14" ht="11.25" customHeight="1">
      <c r="A15" s="634" t="s">
        <v>2010</v>
      </c>
      <c r="B15" s="1280" t="s">
        <v>2003</v>
      </c>
      <c r="C15" s="1281"/>
      <c r="D15" s="1281"/>
      <c r="E15" s="1275"/>
      <c r="F15" s="1279" t="s">
        <v>832</v>
      </c>
      <c r="G15" s="1283" t="s">
        <v>526</v>
      </c>
      <c r="H15" s="1278"/>
      <c r="I15" s="1284">
        <v>1000000</v>
      </c>
      <c r="J15" s="399">
        <v>3750000</v>
      </c>
      <c r="K15" s="400"/>
      <c r="L15" s="110"/>
      <c r="M15" s="129"/>
      <c r="N15" s="110"/>
    </row>
    <row r="16" spans="1:14" ht="11.25" customHeight="1">
      <c r="A16" s="634"/>
      <c r="B16" s="1280" t="s">
        <v>2004</v>
      </c>
      <c r="C16" s="1281"/>
      <c r="D16" s="1281"/>
      <c r="E16" s="1275"/>
      <c r="F16" s="1276" t="s">
        <v>487</v>
      </c>
      <c r="G16" s="1277" t="s">
        <v>488</v>
      </c>
      <c r="H16" s="1278"/>
      <c r="I16" s="400"/>
      <c r="J16" s="399">
        <v>976140</v>
      </c>
      <c r="K16" s="400"/>
      <c r="L16" s="110"/>
      <c r="M16" s="129"/>
      <c r="N16" s="110"/>
    </row>
    <row r="17" spans="1:14" ht="11.25" customHeight="1">
      <c r="A17" s="634"/>
      <c r="B17" s="1280" t="s">
        <v>2005</v>
      </c>
      <c r="C17" s="1281"/>
      <c r="D17" s="1281"/>
      <c r="E17" s="1275"/>
      <c r="F17" s="1276" t="s">
        <v>487</v>
      </c>
      <c r="G17" s="1277" t="s">
        <v>488</v>
      </c>
      <c r="H17" s="1278"/>
      <c r="I17" s="400"/>
      <c r="J17" s="399">
        <v>12497614</v>
      </c>
      <c r="K17" s="400"/>
      <c r="L17" s="110"/>
      <c r="M17" s="129"/>
      <c r="N17" s="110"/>
    </row>
    <row r="18" spans="1:14" ht="11.25" customHeight="1">
      <c r="A18" s="634"/>
      <c r="B18" s="1280" t="s">
        <v>2006</v>
      </c>
      <c r="C18" s="1281"/>
      <c r="D18" s="1281"/>
      <c r="E18" s="1275"/>
      <c r="F18" s="1276" t="s">
        <v>487</v>
      </c>
      <c r="G18" s="1277" t="s">
        <v>488</v>
      </c>
      <c r="H18" s="1278"/>
      <c r="I18" s="400"/>
      <c r="J18" s="399">
        <v>13143296</v>
      </c>
      <c r="K18" s="400"/>
      <c r="L18" s="110"/>
      <c r="M18" s="129"/>
      <c r="N18" s="110"/>
    </row>
    <row r="19" spans="1:14" ht="11.25" customHeight="1">
      <c r="A19" s="634"/>
      <c r="B19" s="1280" t="s">
        <v>2007</v>
      </c>
      <c r="C19" s="1281"/>
      <c r="D19" s="1281"/>
      <c r="E19" s="1275"/>
      <c r="F19" s="1279" t="s">
        <v>1564</v>
      </c>
      <c r="G19" s="1277" t="s">
        <v>673</v>
      </c>
      <c r="H19" s="1282"/>
      <c r="I19" s="400"/>
      <c r="J19" s="399">
        <v>4500000</v>
      </c>
      <c r="K19" s="400"/>
      <c r="L19" s="110"/>
      <c r="M19" s="129"/>
      <c r="N19" s="110"/>
    </row>
    <row r="20" spans="1:14" ht="11.25" customHeight="1">
      <c r="A20" s="634"/>
      <c r="B20" s="1280" t="s">
        <v>2008</v>
      </c>
      <c r="C20" s="1281"/>
      <c r="D20" s="1281"/>
      <c r="E20" s="1275"/>
      <c r="F20" s="1279" t="s">
        <v>1564</v>
      </c>
      <c r="G20" s="1277" t="s">
        <v>519</v>
      </c>
      <c r="H20" s="1278"/>
      <c r="I20" s="400"/>
      <c r="J20" s="399">
        <v>6156704</v>
      </c>
      <c r="K20" s="400"/>
      <c r="L20" s="110"/>
      <c r="M20" s="129"/>
      <c r="N20" s="110"/>
    </row>
    <row r="21" spans="1:14" ht="11.25" customHeight="1">
      <c r="A21" s="634"/>
      <c r="B21" s="635" t="s">
        <v>2012</v>
      </c>
      <c r="C21" s="636" t="s">
        <v>2019</v>
      </c>
      <c r="D21" s="636"/>
      <c r="E21" s="629"/>
      <c r="F21" s="1279" t="s">
        <v>1564</v>
      </c>
      <c r="G21" s="1101" t="s">
        <v>523</v>
      </c>
      <c r="H21" s="1085"/>
      <c r="I21" s="400">
        <v>409000</v>
      </c>
      <c r="J21" s="399">
        <f>409000-370000</f>
        <v>39000</v>
      </c>
      <c r="K21" s="400"/>
      <c r="L21" s="110"/>
      <c r="M21" s="129"/>
      <c r="N21" s="110"/>
    </row>
    <row r="22" spans="1:14" ht="11.25" customHeight="1">
      <c r="A22" s="634"/>
      <c r="B22" s="635" t="s">
        <v>2013</v>
      </c>
      <c r="C22" s="636" t="s">
        <v>2016</v>
      </c>
      <c r="D22" s="636"/>
      <c r="E22" s="629"/>
      <c r="F22" s="1279" t="s">
        <v>1564</v>
      </c>
      <c r="G22" s="1101" t="s">
        <v>521</v>
      </c>
      <c r="H22" s="1085"/>
      <c r="I22" s="400">
        <v>25000</v>
      </c>
      <c r="J22" s="399">
        <v>0</v>
      </c>
      <c r="K22" s="400"/>
      <c r="L22" s="110"/>
      <c r="M22" s="129"/>
      <c r="N22" s="110"/>
    </row>
    <row r="23" spans="1:14" ht="11.25" customHeight="1">
      <c r="A23" s="634"/>
      <c r="B23" s="635" t="s">
        <v>2014</v>
      </c>
      <c r="C23" s="636" t="s">
        <v>2017</v>
      </c>
      <c r="D23" s="636"/>
      <c r="E23" s="629"/>
      <c r="F23" s="1279" t="s">
        <v>1564</v>
      </c>
      <c r="G23" s="1277" t="s">
        <v>673</v>
      </c>
      <c r="H23" s="1085"/>
      <c r="I23" s="400">
        <v>250000</v>
      </c>
      <c r="J23" s="399">
        <v>35000</v>
      </c>
      <c r="K23" s="400"/>
      <c r="L23" s="110"/>
      <c r="M23" s="129"/>
      <c r="N23" s="110"/>
    </row>
    <row r="24" spans="1:14" ht="11.25" customHeight="1">
      <c r="A24" s="634"/>
      <c r="B24" s="635" t="s">
        <v>2015</v>
      </c>
      <c r="C24" s="636" t="s">
        <v>2018</v>
      </c>
      <c r="D24" s="636"/>
      <c r="E24" s="629"/>
      <c r="F24" s="1279" t="s">
        <v>1564</v>
      </c>
      <c r="G24" s="1101" t="s">
        <v>523</v>
      </c>
      <c r="H24" s="1085"/>
      <c r="I24" s="400">
        <v>40000</v>
      </c>
      <c r="J24" s="399">
        <v>0</v>
      </c>
      <c r="K24" s="400"/>
      <c r="L24" s="110"/>
      <c r="M24" s="129"/>
      <c r="N24" s="110"/>
    </row>
    <row r="25" spans="1:14" ht="11.25" customHeight="1">
      <c r="A25" s="634" t="s">
        <v>2020</v>
      </c>
      <c r="B25" s="635" t="s">
        <v>2021</v>
      </c>
      <c r="C25" s="636" t="s">
        <v>2023</v>
      </c>
      <c r="D25" s="636"/>
      <c r="E25" s="629"/>
      <c r="F25" s="1279" t="s">
        <v>1564</v>
      </c>
      <c r="G25" s="1101" t="s">
        <v>523</v>
      </c>
      <c r="H25" s="1085"/>
      <c r="I25" s="400">
        <v>200000</v>
      </c>
      <c r="J25" s="399">
        <v>100000</v>
      </c>
      <c r="K25" s="400"/>
      <c r="L25" s="110"/>
      <c r="M25" s="129"/>
      <c r="N25" s="110"/>
    </row>
    <row r="26" spans="1:14" ht="11.25" customHeight="1">
      <c r="A26" s="634" t="s">
        <v>2020</v>
      </c>
      <c r="B26" s="635" t="s">
        <v>2022</v>
      </c>
      <c r="C26" s="636" t="s">
        <v>2024</v>
      </c>
      <c r="D26" s="636"/>
      <c r="E26" s="629"/>
      <c r="F26" s="1279" t="s">
        <v>1564</v>
      </c>
      <c r="G26" s="1101" t="s">
        <v>523</v>
      </c>
      <c r="H26" s="1085"/>
      <c r="I26" s="400">
        <v>300000</v>
      </c>
      <c r="J26" s="399">
        <v>0</v>
      </c>
      <c r="K26" s="400"/>
      <c r="L26" s="110"/>
      <c r="M26" s="129"/>
      <c r="N26" s="110"/>
    </row>
    <row r="27" spans="1:14" ht="11.25" customHeight="1">
      <c r="A27" s="634" t="s">
        <v>657</v>
      </c>
      <c r="B27" s="635" t="s">
        <v>2025</v>
      </c>
      <c r="C27" s="636" t="s">
        <v>2044</v>
      </c>
      <c r="D27" s="636"/>
      <c r="E27" s="629"/>
      <c r="F27" s="1279" t="s">
        <v>1564</v>
      </c>
      <c r="G27" s="1101" t="s">
        <v>523</v>
      </c>
      <c r="H27" s="1085"/>
      <c r="I27" s="400">
        <v>230500</v>
      </c>
      <c r="J27" s="400">
        <f>230500-54000</f>
        <v>176500</v>
      </c>
      <c r="K27" s="400"/>
      <c r="L27" s="110"/>
      <c r="M27" s="129"/>
      <c r="N27" s="110"/>
    </row>
    <row r="28" spans="1:14" ht="11.25" customHeight="1">
      <c r="A28" s="634" t="s">
        <v>657</v>
      </c>
      <c r="B28" s="635" t="s">
        <v>2026</v>
      </c>
      <c r="C28" s="636" t="s">
        <v>2045</v>
      </c>
      <c r="D28" s="636"/>
      <c r="E28" s="629"/>
      <c r="F28" s="1279" t="s">
        <v>1564</v>
      </c>
      <c r="G28" s="1101" t="s">
        <v>523</v>
      </c>
      <c r="H28" s="1085"/>
      <c r="I28" s="400">
        <v>66000</v>
      </c>
      <c r="J28" s="399">
        <v>0</v>
      </c>
      <c r="K28" s="400"/>
      <c r="L28" s="110"/>
      <c r="M28" s="129"/>
      <c r="N28" s="110"/>
    </row>
    <row r="29" spans="1:14" ht="11.25" customHeight="1">
      <c r="A29" s="634" t="s">
        <v>2027</v>
      </c>
      <c r="B29" s="635" t="s">
        <v>2028</v>
      </c>
      <c r="C29" s="636" t="s">
        <v>2036</v>
      </c>
      <c r="D29" s="636"/>
      <c r="E29" s="629"/>
      <c r="F29" s="1279" t="s">
        <v>1564</v>
      </c>
      <c r="G29" s="1101" t="s">
        <v>521</v>
      </c>
      <c r="H29" s="1085"/>
      <c r="I29" s="400">
        <v>20000</v>
      </c>
      <c r="J29" s="399">
        <v>0</v>
      </c>
      <c r="K29" s="400"/>
      <c r="L29" s="110"/>
      <c r="M29" s="129"/>
      <c r="N29" s="110"/>
    </row>
    <row r="30" spans="1:14" ht="11.25" customHeight="1">
      <c r="A30" s="634" t="s">
        <v>2027</v>
      </c>
      <c r="B30" s="635" t="s">
        <v>2029</v>
      </c>
      <c r="C30" s="636" t="s">
        <v>2037</v>
      </c>
      <c r="D30" s="636"/>
      <c r="E30" s="629"/>
      <c r="F30" s="1279" t="s">
        <v>1564</v>
      </c>
      <c r="G30" s="1277" t="s">
        <v>673</v>
      </c>
      <c r="H30" s="1085"/>
      <c r="I30" s="400">
        <v>10000</v>
      </c>
      <c r="J30" s="399">
        <v>0</v>
      </c>
      <c r="K30" s="400"/>
      <c r="L30" s="110"/>
      <c r="M30" s="129"/>
      <c r="N30" s="110"/>
    </row>
    <row r="31" spans="1:14" ht="11.25" customHeight="1">
      <c r="A31" s="634" t="s">
        <v>2027</v>
      </c>
      <c r="B31" s="635" t="s">
        <v>2030</v>
      </c>
      <c r="C31" s="636" t="s">
        <v>2038</v>
      </c>
      <c r="D31" s="636"/>
      <c r="E31" s="629"/>
      <c r="F31" s="1279" t="s">
        <v>500</v>
      </c>
      <c r="G31" s="1101" t="s">
        <v>526</v>
      </c>
      <c r="H31" s="1085"/>
      <c r="I31" s="400">
        <v>40000</v>
      </c>
      <c r="J31" s="399">
        <v>0</v>
      </c>
      <c r="K31" s="400"/>
      <c r="L31" s="110"/>
      <c r="M31" s="129"/>
      <c r="N31" s="110"/>
    </row>
    <row r="32" spans="1:14" ht="11.25" customHeight="1">
      <c r="A32" s="634" t="s">
        <v>2027</v>
      </c>
      <c r="B32" s="635" t="s">
        <v>2031</v>
      </c>
      <c r="C32" s="636" t="s">
        <v>2039</v>
      </c>
      <c r="D32" s="636"/>
      <c r="E32" s="629"/>
      <c r="F32" s="1279" t="s">
        <v>1564</v>
      </c>
      <c r="G32" s="1277" t="s">
        <v>673</v>
      </c>
      <c r="H32" s="1085"/>
      <c r="I32" s="400">
        <v>100000</v>
      </c>
      <c r="J32" s="399">
        <v>0</v>
      </c>
      <c r="K32" s="400"/>
      <c r="L32" s="110"/>
      <c r="M32" s="129"/>
      <c r="N32" s="110"/>
    </row>
    <row r="33" spans="1:14" ht="11.25" customHeight="1">
      <c r="A33" s="634" t="s">
        <v>2027</v>
      </c>
      <c r="B33" s="635" t="s">
        <v>2032</v>
      </c>
      <c r="C33" s="636" t="s">
        <v>2040</v>
      </c>
      <c r="D33" s="636"/>
      <c r="E33" s="629"/>
      <c r="F33" s="1279" t="s">
        <v>1564</v>
      </c>
      <c r="G33" s="1277" t="s">
        <v>673</v>
      </c>
      <c r="H33" s="1085"/>
      <c r="I33" s="400">
        <v>40000</v>
      </c>
      <c r="J33" s="399">
        <v>0</v>
      </c>
      <c r="K33" s="400"/>
      <c r="L33" s="110"/>
      <c r="M33" s="129"/>
      <c r="N33" s="110"/>
    </row>
    <row r="34" spans="1:14" ht="11.25" customHeight="1">
      <c r="A34" s="634" t="s">
        <v>2027</v>
      </c>
      <c r="B34" s="635" t="s">
        <v>2033</v>
      </c>
      <c r="C34" s="636" t="s">
        <v>2041</v>
      </c>
      <c r="D34" s="636"/>
      <c r="E34" s="629"/>
      <c r="F34" s="1279" t="s">
        <v>1564</v>
      </c>
      <c r="G34" s="1101" t="s">
        <v>521</v>
      </c>
      <c r="H34" s="1085"/>
      <c r="I34" s="400">
        <v>140000</v>
      </c>
      <c r="J34" s="399">
        <v>0</v>
      </c>
      <c r="K34" s="400"/>
      <c r="L34" s="110"/>
      <c r="M34" s="129"/>
      <c r="N34" s="110"/>
    </row>
    <row r="35" spans="1:14" ht="11.25" customHeight="1">
      <c r="A35" s="634" t="s">
        <v>2027</v>
      </c>
      <c r="B35" s="635" t="s">
        <v>2034</v>
      </c>
      <c r="C35" s="636" t="s">
        <v>2042</v>
      </c>
      <c r="D35" s="636"/>
      <c r="E35" s="629"/>
      <c r="F35" s="1279" t="s">
        <v>1564</v>
      </c>
      <c r="G35" s="1101" t="s">
        <v>523</v>
      </c>
      <c r="H35" s="1085"/>
      <c r="I35" s="400">
        <v>50000</v>
      </c>
      <c r="J35" s="399">
        <v>30000</v>
      </c>
      <c r="K35" s="400"/>
      <c r="L35" s="110"/>
      <c r="M35" s="129"/>
      <c r="N35" s="110"/>
    </row>
    <row r="36" spans="1:14" ht="11.25" customHeight="1">
      <c r="A36" s="634" t="s">
        <v>2027</v>
      </c>
      <c r="B36" s="635" t="s">
        <v>2035</v>
      </c>
      <c r="C36" s="636" t="s">
        <v>2043</v>
      </c>
      <c r="D36" s="636"/>
      <c r="E36" s="629"/>
      <c r="F36" s="1279" t="s">
        <v>1564</v>
      </c>
      <c r="G36" s="1101" t="s">
        <v>523</v>
      </c>
      <c r="H36" s="1085"/>
      <c r="I36" s="400">
        <v>100000</v>
      </c>
      <c r="J36" s="399">
        <v>0</v>
      </c>
      <c r="K36" s="400"/>
      <c r="L36" s="110"/>
      <c r="M36" s="129"/>
      <c r="N36" s="110"/>
    </row>
    <row r="37" spans="1:14" ht="11.25" customHeight="1">
      <c r="A37" s="634" t="s">
        <v>2046</v>
      </c>
      <c r="B37" s="635" t="s">
        <v>2047</v>
      </c>
      <c r="C37" s="636" t="s">
        <v>2051</v>
      </c>
      <c r="D37" s="636"/>
      <c r="E37" s="629"/>
      <c r="F37" s="1276" t="s">
        <v>487</v>
      </c>
      <c r="G37" s="1277" t="s">
        <v>488</v>
      </c>
      <c r="H37" s="1085"/>
      <c r="I37" s="400">
        <v>1500000</v>
      </c>
      <c r="J37" s="399"/>
      <c r="K37" s="400"/>
      <c r="L37" s="110"/>
      <c r="M37" s="129"/>
      <c r="N37" s="110"/>
    </row>
    <row r="38" spans="1:14" ht="11.25" customHeight="1">
      <c r="A38" s="634" t="s">
        <v>2046</v>
      </c>
      <c r="B38" s="635" t="s">
        <v>2048</v>
      </c>
      <c r="C38" s="636" t="s">
        <v>2052</v>
      </c>
      <c r="D38" s="636"/>
      <c r="E38" s="629"/>
      <c r="F38" s="1276" t="s">
        <v>487</v>
      </c>
      <c r="G38" s="1277" t="s">
        <v>488</v>
      </c>
      <c r="H38" s="1085"/>
      <c r="I38" s="400">
        <v>2500000</v>
      </c>
      <c r="J38" s="399">
        <v>2500000</v>
      </c>
      <c r="K38" s="400"/>
      <c r="L38" s="110"/>
      <c r="M38" s="129"/>
      <c r="N38" s="110"/>
    </row>
    <row r="39" spans="1:14" ht="11.25" customHeight="1">
      <c r="A39" s="634" t="s">
        <v>2046</v>
      </c>
      <c r="B39" s="635" t="s">
        <v>2049</v>
      </c>
      <c r="C39" s="636" t="s">
        <v>2053</v>
      </c>
      <c r="D39" s="636"/>
      <c r="E39" s="629"/>
      <c r="F39" s="1276" t="s">
        <v>487</v>
      </c>
      <c r="G39" s="1277" t="s">
        <v>488</v>
      </c>
      <c r="H39" s="1085"/>
      <c r="I39" s="400">
        <v>2500000</v>
      </c>
      <c r="J39" s="399">
        <v>0</v>
      </c>
      <c r="K39" s="400"/>
      <c r="L39" s="110"/>
      <c r="M39" s="129"/>
      <c r="N39" s="110"/>
    </row>
    <row r="40" spans="1:14" ht="11.25" customHeight="1">
      <c r="A40" s="634" t="s">
        <v>2046</v>
      </c>
      <c r="B40" s="635" t="s">
        <v>2050</v>
      </c>
      <c r="C40" s="636" t="s">
        <v>2054</v>
      </c>
      <c r="D40" s="636"/>
      <c r="E40" s="629"/>
      <c r="F40" s="1276" t="s">
        <v>487</v>
      </c>
      <c r="G40" s="1277" t="s">
        <v>488</v>
      </c>
      <c r="H40" s="1085"/>
      <c r="I40" s="400">
        <v>3000000</v>
      </c>
      <c r="J40" s="399"/>
      <c r="K40" s="400"/>
      <c r="L40" s="110"/>
      <c r="M40" s="129"/>
      <c r="N40" s="110"/>
    </row>
    <row r="41" spans="1:14" ht="11.25" customHeight="1">
      <c r="A41" s="634" t="s">
        <v>2055</v>
      </c>
      <c r="B41" s="635" t="s">
        <v>2056</v>
      </c>
      <c r="C41" s="636" t="s">
        <v>2057</v>
      </c>
      <c r="D41" s="636"/>
      <c r="E41" s="629"/>
      <c r="F41" s="1100" t="s">
        <v>490</v>
      </c>
      <c r="G41" s="1101" t="s">
        <v>492</v>
      </c>
      <c r="H41" s="1085"/>
      <c r="I41" s="400">
        <v>8000000</v>
      </c>
      <c r="J41" s="399">
        <v>0</v>
      </c>
      <c r="K41" s="400"/>
      <c r="L41" s="110"/>
      <c r="M41" s="129"/>
      <c r="N41" s="110"/>
    </row>
    <row r="42" spans="1:14" ht="10.5" customHeight="1">
      <c r="A42" s="634" t="s">
        <v>2055</v>
      </c>
      <c r="B42" s="635" t="s">
        <v>2058</v>
      </c>
      <c r="C42" s="636" t="s">
        <v>2059</v>
      </c>
      <c r="D42" s="636"/>
      <c r="E42" s="629"/>
      <c r="F42" s="1279" t="s">
        <v>1564</v>
      </c>
      <c r="G42" s="1277" t="s">
        <v>673</v>
      </c>
      <c r="H42" s="1085"/>
      <c r="I42" s="400">
        <v>500000</v>
      </c>
      <c r="J42" s="399">
        <v>200000</v>
      </c>
      <c r="K42" s="400"/>
      <c r="L42" s="110"/>
      <c r="M42" s="129"/>
      <c r="N42" s="110"/>
    </row>
    <row r="43" spans="1:14" ht="11.25" customHeight="1">
      <c r="A43" s="634" t="s">
        <v>2055</v>
      </c>
      <c r="B43" s="635" t="s">
        <v>2060</v>
      </c>
      <c r="C43" s="636" t="s">
        <v>2063</v>
      </c>
      <c r="D43" s="636"/>
      <c r="E43" s="629"/>
      <c r="F43" s="1100" t="s">
        <v>490</v>
      </c>
      <c r="G43" s="1101" t="s">
        <v>493</v>
      </c>
      <c r="H43" s="1085"/>
      <c r="I43" s="400">
        <v>500000</v>
      </c>
      <c r="J43" s="399">
        <v>0</v>
      </c>
      <c r="K43" s="400"/>
      <c r="L43" s="110"/>
      <c r="M43" s="129"/>
      <c r="N43" s="110"/>
    </row>
    <row r="44" spans="1:14" ht="11.25" customHeight="1">
      <c r="A44" s="634" t="s">
        <v>2055</v>
      </c>
      <c r="B44" s="635" t="s">
        <v>2061</v>
      </c>
      <c r="C44" s="636" t="s">
        <v>2064</v>
      </c>
      <c r="D44" s="636"/>
      <c r="E44" s="629"/>
      <c r="F44" s="1100" t="s">
        <v>490</v>
      </c>
      <c r="G44" s="1101" t="s">
        <v>493</v>
      </c>
      <c r="H44" s="1085"/>
      <c r="I44" s="400">
        <v>500000</v>
      </c>
      <c r="J44" s="399">
        <v>0</v>
      </c>
      <c r="K44" s="400"/>
      <c r="L44" s="110"/>
      <c r="M44" s="129"/>
      <c r="N44" s="110"/>
    </row>
    <row r="45" spans="1:14" ht="11.25" customHeight="1">
      <c r="A45" s="634" t="s">
        <v>2055</v>
      </c>
      <c r="B45" s="635" t="s">
        <v>2062</v>
      </c>
      <c r="C45" s="636" t="s">
        <v>2065</v>
      </c>
      <c r="D45" s="636"/>
      <c r="E45" s="629"/>
      <c r="F45" s="1100" t="s">
        <v>490</v>
      </c>
      <c r="G45" s="1101" t="s">
        <v>493</v>
      </c>
      <c r="H45" s="1085"/>
      <c r="I45" s="400">
        <v>500000</v>
      </c>
      <c r="J45" s="399">
        <v>0</v>
      </c>
      <c r="K45" s="400"/>
      <c r="L45" s="110"/>
      <c r="M45" s="129"/>
      <c r="N45" s="110"/>
    </row>
    <row r="46" spans="1:14" ht="11.25" customHeight="1">
      <c r="A46" s="634" t="s">
        <v>2055</v>
      </c>
      <c r="B46" s="635" t="s">
        <v>2068</v>
      </c>
      <c r="C46" s="636" t="s">
        <v>2069</v>
      </c>
      <c r="D46" s="636"/>
      <c r="E46" s="629"/>
      <c r="F46" s="1100" t="s">
        <v>490</v>
      </c>
      <c r="G46" s="1101" t="s">
        <v>492</v>
      </c>
      <c r="H46" s="1085"/>
      <c r="I46" s="400">
        <v>5000000</v>
      </c>
      <c r="J46" s="399">
        <f>5000000+2000000</f>
        <v>7000000</v>
      </c>
      <c r="K46" s="400"/>
      <c r="L46" s="110"/>
      <c r="M46" s="129"/>
      <c r="N46" s="110"/>
    </row>
    <row r="47" spans="1:14" ht="11.25" customHeight="1">
      <c r="A47" s="634" t="s">
        <v>2066</v>
      </c>
      <c r="B47" s="635" t="s">
        <v>2067</v>
      </c>
      <c r="C47" s="636"/>
      <c r="D47" s="636"/>
      <c r="E47" s="629"/>
      <c r="F47" s="1100" t="s">
        <v>832</v>
      </c>
      <c r="G47" s="1101" t="s">
        <v>673</v>
      </c>
      <c r="H47" s="1085"/>
      <c r="I47" s="400">
        <v>5000000</v>
      </c>
      <c r="J47" s="399">
        <f>5000000+18350000+3400000</f>
        <v>26750000</v>
      </c>
      <c r="K47" s="400"/>
      <c r="L47" s="110"/>
      <c r="M47" s="129"/>
      <c r="N47" s="110"/>
    </row>
    <row r="48" spans="1:14" ht="11.25" customHeight="1">
      <c r="A48" s="634" t="s">
        <v>2046</v>
      </c>
      <c r="B48" s="635" t="s">
        <v>2070</v>
      </c>
      <c r="C48" s="636"/>
      <c r="D48" s="636"/>
      <c r="E48" s="629"/>
      <c r="F48" s="1276" t="s">
        <v>487</v>
      </c>
      <c r="G48" s="1277" t="s">
        <v>488</v>
      </c>
      <c r="H48" s="1085"/>
      <c r="I48" s="400"/>
      <c r="J48" s="399">
        <v>2300000</v>
      </c>
      <c r="K48" s="400"/>
      <c r="L48" s="110"/>
      <c r="M48" s="129"/>
      <c r="N48" s="110"/>
    </row>
    <row r="49" spans="1:14" ht="11.25" customHeight="1">
      <c r="A49" s="634" t="s">
        <v>2046</v>
      </c>
      <c r="B49" s="635" t="s">
        <v>2071</v>
      </c>
      <c r="C49" s="636" t="s">
        <v>2075</v>
      </c>
      <c r="D49" s="636"/>
      <c r="E49" s="629"/>
      <c r="F49" s="1279" t="s">
        <v>1564</v>
      </c>
      <c r="G49" s="1101" t="s">
        <v>521</v>
      </c>
      <c r="H49" s="1085"/>
      <c r="I49" s="400">
        <v>150000</v>
      </c>
      <c r="J49" s="399">
        <v>0</v>
      </c>
      <c r="K49" s="400"/>
      <c r="L49" s="110"/>
      <c r="M49" s="129"/>
      <c r="N49" s="110"/>
    </row>
    <row r="50" spans="1:14" ht="11.25" customHeight="1">
      <c r="A50" s="634" t="s">
        <v>2046</v>
      </c>
      <c r="B50" s="635" t="s">
        <v>2072</v>
      </c>
      <c r="C50" s="636" t="s">
        <v>2076</v>
      </c>
      <c r="D50" s="636"/>
      <c r="E50" s="629"/>
      <c r="F50" s="1279" t="s">
        <v>1564</v>
      </c>
      <c r="G50" s="1101" t="s">
        <v>521</v>
      </c>
      <c r="H50" s="1085"/>
      <c r="I50" s="400">
        <v>60000</v>
      </c>
      <c r="J50" s="399">
        <v>0</v>
      </c>
      <c r="K50" s="400"/>
      <c r="L50" s="110"/>
      <c r="M50" s="129"/>
      <c r="N50" s="110"/>
    </row>
    <row r="51" spans="1:14" ht="11.25" customHeight="1">
      <c r="A51" s="634" t="s">
        <v>2046</v>
      </c>
      <c r="B51" s="635" t="s">
        <v>2073</v>
      </c>
      <c r="C51" s="636" t="s">
        <v>2077</v>
      </c>
      <c r="D51" s="636"/>
      <c r="E51" s="629"/>
      <c r="F51" s="1279" t="s">
        <v>1564</v>
      </c>
      <c r="G51" s="1101" t="s">
        <v>521</v>
      </c>
      <c r="H51" s="1085"/>
      <c r="I51" s="400">
        <v>25000</v>
      </c>
      <c r="J51" s="399">
        <v>0</v>
      </c>
      <c r="K51" s="400"/>
      <c r="L51" s="110"/>
      <c r="M51" s="129"/>
      <c r="N51" s="110"/>
    </row>
    <row r="52" spans="1:14" ht="11.25" customHeight="1">
      <c r="A52" s="634" t="s">
        <v>2046</v>
      </c>
      <c r="B52" s="635" t="s">
        <v>2074</v>
      </c>
      <c r="C52" s="636" t="s">
        <v>2078</v>
      </c>
      <c r="D52" s="636"/>
      <c r="E52" s="629"/>
      <c r="F52" s="1279" t="s">
        <v>1564</v>
      </c>
      <c r="G52" s="1101" t="s">
        <v>521</v>
      </c>
      <c r="H52" s="1085"/>
      <c r="I52" s="400">
        <v>65000</v>
      </c>
      <c r="J52" s="399">
        <v>0</v>
      </c>
      <c r="K52" s="400"/>
      <c r="L52" s="110"/>
      <c r="M52" s="129"/>
      <c r="N52" s="110"/>
    </row>
    <row r="53" spans="1:14" ht="11.25" customHeight="1">
      <c r="A53" s="634" t="s">
        <v>2055</v>
      </c>
      <c r="B53" s="635" t="s">
        <v>2079</v>
      </c>
      <c r="C53" s="636" t="s">
        <v>2080</v>
      </c>
      <c r="D53" s="636"/>
      <c r="E53" s="629"/>
      <c r="F53" s="1279" t="s">
        <v>1564</v>
      </c>
      <c r="G53" s="1279" t="s">
        <v>1564</v>
      </c>
      <c r="H53" s="1085"/>
      <c r="I53" s="400">
        <v>300000</v>
      </c>
      <c r="J53" s="399">
        <v>130000</v>
      </c>
      <c r="K53" s="400"/>
      <c r="L53" s="110"/>
      <c r="M53" s="129"/>
      <c r="N53" s="110"/>
    </row>
    <row r="54" spans="1:14" ht="11.25" customHeight="1">
      <c r="A54" s="634" t="s">
        <v>2055</v>
      </c>
      <c r="B54" s="635" t="s">
        <v>2081</v>
      </c>
      <c r="C54" s="636"/>
      <c r="D54" s="636"/>
      <c r="E54" s="629"/>
      <c r="F54" s="1279" t="s">
        <v>1564</v>
      </c>
      <c r="G54" s="1101" t="s">
        <v>521</v>
      </c>
      <c r="H54" s="1085"/>
      <c r="I54" s="400">
        <v>50000</v>
      </c>
      <c r="J54" s="399">
        <v>30000</v>
      </c>
      <c r="K54" s="400"/>
      <c r="L54" s="110"/>
      <c r="M54" s="129"/>
      <c r="N54" s="110"/>
    </row>
    <row r="55" spans="1:14" ht="11.25" customHeight="1">
      <c r="A55" s="634" t="s">
        <v>2055</v>
      </c>
      <c r="B55" s="635" t="s">
        <v>2082</v>
      </c>
      <c r="C55" s="636"/>
      <c r="D55" s="636"/>
      <c r="E55" s="629"/>
      <c r="F55" s="1279" t="s">
        <v>1564</v>
      </c>
      <c r="G55" s="1101" t="s">
        <v>523</v>
      </c>
      <c r="H55" s="1085"/>
      <c r="I55" s="400">
        <v>200000</v>
      </c>
      <c r="J55" s="399">
        <v>0</v>
      </c>
      <c r="K55" s="400"/>
      <c r="L55" s="110"/>
      <c r="M55" s="129"/>
      <c r="N55" s="110"/>
    </row>
    <row r="56" spans="1:14" ht="11.25" customHeight="1">
      <c r="A56" s="634"/>
      <c r="B56" s="635"/>
      <c r="C56" s="636"/>
      <c r="D56" s="636"/>
      <c r="E56" s="629"/>
      <c r="F56" s="1100"/>
      <c r="G56" s="1101"/>
      <c r="H56" s="1085"/>
      <c r="I56" s="400"/>
      <c r="J56" s="399"/>
      <c r="K56" s="400"/>
      <c r="L56" s="110"/>
      <c r="M56" s="129"/>
      <c r="N56" s="110"/>
    </row>
    <row r="57" spans="1:14" ht="11.25" customHeight="1">
      <c r="A57" s="637"/>
      <c r="B57" s="638"/>
      <c r="C57" s="639"/>
      <c r="D57" s="639"/>
      <c r="E57" s="1102"/>
      <c r="F57" s="1103"/>
      <c r="G57" s="1106"/>
      <c r="H57" s="1086"/>
      <c r="I57" s="502"/>
      <c r="J57" s="640"/>
      <c r="K57" s="502"/>
      <c r="L57" s="112"/>
      <c r="M57" s="142"/>
      <c r="N57" s="112"/>
    </row>
    <row r="58" spans="1:14" ht="11.25" customHeight="1">
      <c r="A58" s="641" t="s">
        <v>546</v>
      </c>
      <c r="B58" s="642"/>
      <c r="C58" s="643"/>
      <c r="D58" s="643"/>
      <c r="E58" s="643"/>
      <c r="F58" s="642"/>
      <c r="G58" s="1077"/>
      <c r="H58" s="1087"/>
      <c r="I58" s="644"/>
      <c r="J58" s="476"/>
      <c r="K58" s="644"/>
      <c r="L58" s="235"/>
      <c r="M58" s="126"/>
      <c r="N58" s="235"/>
    </row>
    <row r="59" spans="1:14" ht="11.25" customHeight="1">
      <c r="A59" s="627" t="s">
        <v>547</v>
      </c>
      <c r="B59" s="635"/>
      <c r="C59" s="636"/>
      <c r="D59" s="636"/>
      <c r="E59" s="629"/>
      <c r="F59" s="1279"/>
      <c r="G59" s="1101"/>
      <c r="H59" s="1085"/>
      <c r="I59" s="400"/>
      <c r="J59" s="399"/>
      <c r="K59" s="400"/>
      <c r="L59" s="110"/>
      <c r="M59" s="129"/>
      <c r="N59" s="110"/>
    </row>
    <row r="60" spans="1:14" ht="11.25" customHeight="1">
      <c r="A60" s="645"/>
      <c r="B60" s="635"/>
      <c r="C60" s="636"/>
      <c r="D60" s="636"/>
      <c r="E60" s="629"/>
      <c r="F60" s="1100"/>
      <c r="G60" s="1101"/>
      <c r="H60" s="1085"/>
      <c r="I60" s="400"/>
      <c r="J60" s="399"/>
      <c r="K60" s="400"/>
      <c r="L60" s="110"/>
      <c r="M60" s="129"/>
      <c r="N60" s="110"/>
    </row>
    <row r="61" spans="1:14" ht="11.25" customHeight="1">
      <c r="A61" s="842" t="s">
        <v>548</v>
      </c>
      <c r="B61" s="635"/>
      <c r="C61" s="636"/>
      <c r="D61" s="636"/>
      <c r="E61" s="629"/>
      <c r="F61" s="1100"/>
      <c r="G61" s="1101"/>
      <c r="H61" s="1085"/>
      <c r="I61" s="400"/>
      <c r="J61" s="399"/>
      <c r="K61" s="400"/>
      <c r="L61" s="110"/>
      <c r="M61" s="129"/>
      <c r="N61" s="110"/>
    </row>
    <row r="62" spans="1:14" ht="11.25" customHeight="1">
      <c r="A62" s="627" t="s">
        <v>2085</v>
      </c>
      <c r="B62" s="627" t="s">
        <v>2084</v>
      </c>
      <c r="C62" s="636"/>
      <c r="D62" s="636"/>
      <c r="E62" s="629"/>
      <c r="F62" s="1279" t="s">
        <v>1564</v>
      </c>
      <c r="G62" s="1101" t="s">
        <v>523</v>
      </c>
      <c r="H62" s="1085"/>
      <c r="I62" s="400"/>
      <c r="J62" s="399"/>
      <c r="K62" s="400"/>
      <c r="L62" s="110">
        <v>25000</v>
      </c>
      <c r="M62" s="129"/>
      <c r="N62" s="110">
        <v>27500</v>
      </c>
    </row>
    <row r="63" spans="1:14" ht="11.25" customHeight="1">
      <c r="A63" s="645"/>
      <c r="B63" s="635"/>
      <c r="C63" s="636"/>
      <c r="D63" s="636"/>
      <c r="E63" s="629"/>
      <c r="F63" s="1100"/>
      <c r="G63" s="1101"/>
      <c r="H63" s="1085"/>
      <c r="I63" s="400"/>
      <c r="J63" s="399"/>
      <c r="K63" s="400"/>
      <c r="L63" s="110"/>
      <c r="M63" s="129"/>
      <c r="N63" s="110"/>
    </row>
    <row r="64" spans="1:14" ht="11.25" customHeight="1">
      <c r="A64" s="634"/>
      <c r="B64" s="635"/>
      <c r="C64" s="636"/>
      <c r="D64" s="636"/>
      <c r="E64" s="629"/>
      <c r="F64" s="1100"/>
      <c r="G64" s="1101"/>
      <c r="H64" s="1085"/>
      <c r="I64" s="400"/>
      <c r="J64" s="399"/>
      <c r="K64" s="400"/>
      <c r="L64" s="110"/>
      <c r="M64" s="129"/>
      <c r="N64" s="110"/>
    </row>
    <row r="65" spans="1:14" ht="11.25" customHeight="1">
      <c r="A65" s="634"/>
      <c r="B65" s="635"/>
      <c r="C65" s="636"/>
      <c r="D65" s="636"/>
      <c r="E65" s="629"/>
      <c r="F65" s="1100"/>
      <c r="G65" s="1101"/>
      <c r="H65" s="1085"/>
      <c r="I65" s="400"/>
      <c r="J65" s="399"/>
      <c r="K65" s="400"/>
      <c r="L65" s="110"/>
      <c r="M65" s="129"/>
      <c r="N65" s="110"/>
    </row>
    <row r="66" spans="1:14" ht="11.25" customHeight="1">
      <c r="A66" s="646"/>
      <c r="B66" s="647"/>
      <c r="C66" s="648"/>
      <c r="D66" s="648"/>
      <c r="E66" s="1104"/>
      <c r="F66" s="1105"/>
      <c r="G66" s="1107"/>
      <c r="H66" s="1088"/>
      <c r="I66" s="316"/>
      <c r="J66" s="649"/>
      <c r="K66" s="316"/>
      <c r="L66" s="318"/>
      <c r="M66" s="324"/>
      <c r="N66" s="318"/>
    </row>
    <row r="67" spans="1:14" ht="11.25" customHeight="1">
      <c r="A67" s="650" t="s">
        <v>549</v>
      </c>
      <c r="F67" s="48"/>
      <c r="G67" s="48"/>
      <c r="H67" s="48"/>
    </row>
    <row r="68" spans="1:14" ht="11.25" customHeight="1">
      <c r="A68" s="651" t="s">
        <v>550</v>
      </c>
    </row>
    <row r="69" spans="1:14" ht="11.25" customHeight="1">
      <c r="A69" s="651" t="s">
        <v>551</v>
      </c>
    </row>
    <row r="70" spans="1:14" ht="11.25" customHeight="1">
      <c r="A70" s="651" t="s">
        <v>552</v>
      </c>
    </row>
    <row r="71" spans="1:14" ht="11.25" customHeight="1">
      <c r="A71" s="651" t="s">
        <v>1575</v>
      </c>
    </row>
    <row r="72" spans="1:14" ht="11.25" customHeight="1">
      <c r="A72" s="5" t="s">
        <v>1573</v>
      </c>
    </row>
    <row r="73" spans="1:14" ht="11.25" customHeight="1">
      <c r="A73" s="5" t="s">
        <v>1574</v>
      </c>
    </row>
    <row r="74" spans="1:14" ht="11.25" customHeight="1"/>
    <row r="75" spans="1:14" ht="11.25" customHeight="1"/>
    <row r="76" spans="1:14" ht="11.25" customHeight="1"/>
    <row r="77" spans="1:14" ht="11.25" customHeight="1"/>
    <row r="78" spans="1:14" ht="11.25" customHeight="1"/>
    <row r="79" spans="1:14" ht="11.25" customHeight="1"/>
    <row r="80" spans="1:14" ht="11.25" customHeight="1"/>
    <row r="81" ht="11.25" customHeight="1"/>
    <row r="84"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spans="2:2" ht="11.25" customHeight="1"/>
    <row r="98" spans="2:2" ht="11.25" customHeight="1"/>
    <row r="99" spans="2:2" ht="11.25" customHeight="1">
      <c r="B99" s="127"/>
    </row>
    <row r="100" spans="2:2" ht="11.25" customHeight="1"/>
    <row r="101" spans="2:2" ht="11.25" customHeight="1"/>
    <row r="102" spans="2:2" ht="11.25" customHeight="1"/>
    <row r="103" spans="2:2" ht="11.25" customHeight="1"/>
    <row r="104" spans="2:2" ht="11.25" customHeight="1"/>
    <row r="105" spans="2:2" ht="11.25" customHeight="1"/>
    <row r="106" spans="2:2" ht="11.25" customHeight="1"/>
    <row r="107" spans="2:2" ht="11.25" customHeight="1"/>
    <row r="108" spans="2:2" ht="11.25" customHeight="1"/>
    <row r="109" spans="2:2" ht="11.25" customHeight="1"/>
    <row r="110" spans="2:2" ht="11.25" customHeight="1"/>
    <row r="111" spans="2:2" ht="11.25" customHeight="1"/>
    <row r="112" spans="2: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dataConsolidate/>
  <mergeCells count="7">
    <mergeCell ref="I2:N2"/>
    <mergeCell ref="I3:J3"/>
    <mergeCell ref="K3:L3"/>
    <mergeCell ref="M3:N3"/>
    <mergeCell ref="A2:A3"/>
    <mergeCell ref="B2:B4"/>
    <mergeCell ref="C2:C4"/>
  </mergeCells>
  <phoneticPr fontId="17" type="noConversion"/>
  <dataValidations count="3">
    <dataValidation type="list" allowBlank="1" showInputMessage="1" showErrorMessage="1" promptTitle="Y/N" prompt="Please select" sqref="E59:E66 E6:E57">
      <formula1>Y_N</formula1>
    </dataValidation>
    <dataValidation type="list" allowBlank="1" showInputMessage="1" showErrorMessage="1" promptTitle="Asset Class" prompt="Please select" sqref="F6:F57 G53 F59:F66">
      <formula1>Asset_Class</formula1>
    </dataValidation>
    <dataValidation type="list" allowBlank="1" showInputMessage="1" showErrorMessage="1" promptTitle="Asset Sub-Class" prompt="Please select" sqref="G54:G57 G6:G52 G59:G66">
      <formula1>Asset_sub_class</formula1>
    </dataValidation>
  </dataValidations>
  <printOptions horizontalCentered="1"/>
  <pageMargins left="0.35433070866141736" right="0.15748031496062992" top="0.78740157480314965" bottom="0.59055118110236227" header="0.51181102362204722" footer="0.51181102362204722"/>
  <pageSetup paperSize="8" scale="88"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sheetPr codeName="Sheet77" enableFormatConditionsCalculation="0">
    <tabColor indexed="42"/>
    <pageSetUpPr fitToPage="1"/>
  </sheetPr>
  <dimension ref="A1:M88"/>
  <sheetViews>
    <sheetView showGridLines="0" workbookViewId="0">
      <pane xSplit="2" ySplit="5" topLeftCell="D6" activePane="bottomRight" state="frozen"/>
      <selection activeCell="M17" sqref="M17:M63"/>
      <selection pane="topRight" activeCell="M17" sqref="M17:M63"/>
      <selection pane="bottomLeft" activeCell="M17" sqref="M17:M63"/>
      <selection pane="bottomRight" activeCell="L7" sqref="L7:M7"/>
    </sheetView>
  </sheetViews>
  <sheetFormatPr defaultRowHeight="12.7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1370" t="str">
        <f>muni&amp;" - "&amp;ADJB20&amp;" - "&amp;Date</f>
        <v>LIM333 Greater Tzaneen - Supporting Table SB20 Adjusted Budget Municipal Entity Performance Summary - 26 FEBRUARY 2014</v>
      </c>
      <c r="B1" s="1370"/>
      <c r="C1" s="1370"/>
      <c r="D1" s="1370"/>
      <c r="E1" s="1370"/>
      <c r="F1" s="1370"/>
      <c r="G1" s="1370"/>
      <c r="H1" s="1370"/>
      <c r="I1" s="1370"/>
      <c r="J1" s="1370"/>
      <c r="K1" s="1370"/>
      <c r="L1" s="1370"/>
      <c r="M1" s="1370"/>
    </row>
    <row r="2" spans="1:13" ht="38.25">
      <c r="A2" s="1322" t="str">
        <f>desc</f>
        <v>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3" ht="25.5">
      <c r="A3" s="1323"/>
      <c r="B3" s="132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52" t="str">
        <f>Head7</f>
        <v>Adjusted Budget</v>
      </c>
      <c r="M3" s="653" t="str">
        <f>Head7</f>
        <v>Adjusted Budget</v>
      </c>
    </row>
    <row r="4" spans="1:13">
      <c r="A4" s="1323"/>
      <c r="B4" s="1323"/>
      <c r="C4" s="14"/>
      <c r="D4" s="15">
        <v>3</v>
      </c>
      <c r="E4" s="15">
        <v>4</v>
      </c>
      <c r="F4" s="15">
        <v>5</v>
      </c>
      <c r="G4" s="15">
        <v>6</v>
      </c>
      <c r="H4" s="15">
        <v>8</v>
      </c>
      <c r="I4" s="15">
        <v>9</v>
      </c>
      <c r="J4" s="16">
        <v>10</v>
      </c>
      <c r="K4" s="16">
        <v>11</v>
      </c>
      <c r="L4" s="16"/>
      <c r="M4" s="17"/>
    </row>
    <row r="5" spans="1:13">
      <c r="A5" s="66" t="s">
        <v>643</v>
      </c>
      <c r="B5" s="153"/>
      <c r="C5" s="495" t="s">
        <v>583</v>
      </c>
      <c r="D5" s="68" t="s">
        <v>584</v>
      </c>
      <c r="E5" s="68" t="s">
        <v>585</v>
      </c>
      <c r="F5" s="69" t="s">
        <v>586</v>
      </c>
      <c r="G5" s="69" t="s">
        <v>587</v>
      </c>
      <c r="H5" s="69" t="s">
        <v>588</v>
      </c>
      <c r="I5" s="70" t="s">
        <v>589</v>
      </c>
      <c r="J5" s="525" t="s">
        <v>590</v>
      </c>
      <c r="K5" s="525" t="s">
        <v>591</v>
      </c>
      <c r="L5" s="525"/>
      <c r="M5" s="71"/>
    </row>
    <row r="6" spans="1:13" ht="12.75" customHeight="1">
      <c r="A6" s="125" t="s">
        <v>553</v>
      </c>
      <c r="B6" s="73"/>
      <c r="C6" s="74"/>
      <c r="D6" s="75"/>
      <c r="E6" s="75"/>
      <c r="F6" s="75"/>
      <c r="G6" s="75"/>
      <c r="H6" s="75"/>
      <c r="I6" s="75"/>
      <c r="J6" s="528"/>
      <c r="K6" s="528"/>
      <c r="L6" s="528"/>
      <c r="M6" s="76"/>
    </row>
    <row r="7" spans="1:13" ht="12.75" customHeight="1">
      <c r="A7" s="497" t="s">
        <v>554</v>
      </c>
      <c r="B7" s="73"/>
      <c r="C7" s="129"/>
      <c r="D7" s="109"/>
      <c r="E7" s="109"/>
      <c r="F7" s="109"/>
      <c r="G7" s="109"/>
      <c r="H7" s="109"/>
      <c r="I7" s="109">
        <v>5500000</v>
      </c>
      <c r="J7" s="528">
        <f t="shared" ref="J7:J16" si="0">SUM(E7:I7)</f>
        <v>5500000</v>
      </c>
      <c r="K7" s="528">
        <f t="shared" ref="K7:K16" si="1">IF(D7=0,C7+J7,D7+J7)</f>
        <v>5500000</v>
      </c>
      <c r="L7" s="399">
        <v>6500000</v>
      </c>
      <c r="M7" s="110">
        <v>7000000</v>
      </c>
    </row>
    <row r="8" spans="1:13" ht="12.75" customHeight="1">
      <c r="A8" s="497" t="s">
        <v>555</v>
      </c>
      <c r="B8" s="73"/>
      <c r="C8" s="129"/>
      <c r="D8" s="109"/>
      <c r="E8" s="109"/>
      <c r="F8" s="109"/>
      <c r="G8" s="109"/>
      <c r="H8" s="109"/>
      <c r="I8" s="109"/>
      <c r="J8" s="528">
        <f t="shared" si="0"/>
        <v>0</v>
      </c>
      <c r="K8" s="528">
        <f t="shared" si="1"/>
        <v>0</v>
      </c>
      <c r="L8" s="399"/>
      <c r="M8" s="110"/>
    </row>
    <row r="9" spans="1:13" ht="12.75" customHeight="1">
      <c r="A9" s="497" t="s">
        <v>556</v>
      </c>
      <c r="B9" s="73"/>
      <c r="C9" s="129"/>
      <c r="D9" s="109"/>
      <c r="E9" s="109"/>
      <c r="F9" s="109"/>
      <c r="G9" s="109"/>
      <c r="H9" s="109"/>
      <c r="I9" s="109"/>
      <c r="J9" s="528">
        <f t="shared" si="0"/>
        <v>0</v>
      </c>
      <c r="K9" s="528">
        <f t="shared" si="1"/>
        <v>0</v>
      </c>
      <c r="L9" s="399"/>
      <c r="M9" s="110"/>
    </row>
    <row r="10" spans="1:13" ht="12.75" customHeight="1">
      <c r="A10" s="497"/>
      <c r="B10" s="73"/>
      <c r="C10" s="129"/>
      <c r="D10" s="109"/>
      <c r="E10" s="109"/>
      <c r="F10" s="109"/>
      <c r="G10" s="109"/>
      <c r="H10" s="109"/>
      <c r="I10" s="109"/>
      <c r="J10" s="528">
        <f t="shared" si="0"/>
        <v>0</v>
      </c>
      <c r="K10" s="528">
        <f t="shared" si="1"/>
        <v>0</v>
      </c>
      <c r="L10" s="399"/>
      <c r="M10" s="110"/>
    </row>
    <row r="11" spans="1:13" ht="12.75" customHeight="1">
      <c r="A11" s="497"/>
      <c r="B11" s="73"/>
      <c r="C11" s="129"/>
      <c r="D11" s="109"/>
      <c r="E11" s="109"/>
      <c r="F11" s="109"/>
      <c r="G11" s="109"/>
      <c r="H11" s="109"/>
      <c r="I11" s="109"/>
      <c r="J11" s="528">
        <f t="shared" si="0"/>
        <v>0</v>
      </c>
      <c r="K11" s="528">
        <f t="shared" si="1"/>
        <v>0</v>
      </c>
      <c r="L11" s="399"/>
      <c r="M11" s="110"/>
    </row>
    <row r="12" spans="1:13" ht="12.75" customHeight="1">
      <c r="A12" s="497"/>
      <c r="B12" s="73"/>
      <c r="C12" s="129"/>
      <c r="D12" s="109"/>
      <c r="E12" s="109"/>
      <c r="F12" s="109"/>
      <c r="G12" s="109"/>
      <c r="H12" s="109"/>
      <c r="I12" s="109"/>
      <c r="J12" s="528">
        <f t="shared" si="0"/>
        <v>0</v>
      </c>
      <c r="K12" s="528">
        <f t="shared" si="1"/>
        <v>0</v>
      </c>
      <c r="L12" s="399"/>
      <c r="M12" s="110"/>
    </row>
    <row r="13" spans="1:13" ht="12.75" customHeight="1">
      <c r="A13" s="497"/>
      <c r="B13" s="73"/>
      <c r="C13" s="129"/>
      <c r="D13" s="109"/>
      <c r="E13" s="109"/>
      <c r="F13" s="109"/>
      <c r="G13" s="109"/>
      <c r="H13" s="109"/>
      <c r="I13" s="109"/>
      <c r="J13" s="528">
        <f t="shared" si="0"/>
        <v>0</v>
      </c>
      <c r="K13" s="528">
        <f t="shared" si="1"/>
        <v>0</v>
      </c>
      <c r="L13" s="399"/>
      <c r="M13" s="110"/>
    </row>
    <row r="14" spans="1:13" ht="12.75" customHeight="1">
      <c r="A14" s="497"/>
      <c r="B14" s="73"/>
      <c r="C14" s="129"/>
      <c r="D14" s="109"/>
      <c r="E14" s="109"/>
      <c r="F14" s="109"/>
      <c r="G14" s="109"/>
      <c r="H14" s="109"/>
      <c r="I14" s="109"/>
      <c r="J14" s="528">
        <f t="shared" si="0"/>
        <v>0</v>
      </c>
      <c r="K14" s="528">
        <f t="shared" si="1"/>
        <v>0</v>
      </c>
      <c r="L14" s="399"/>
      <c r="M14" s="110"/>
    </row>
    <row r="15" spans="1:13" ht="12.75" customHeight="1">
      <c r="A15" s="497"/>
      <c r="B15" s="73"/>
      <c r="C15" s="129"/>
      <c r="D15" s="109"/>
      <c r="E15" s="109"/>
      <c r="F15" s="109"/>
      <c r="G15" s="109"/>
      <c r="H15" s="109"/>
      <c r="I15" s="109"/>
      <c r="J15" s="528">
        <f t="shared" si="0"/>
        <v>0</v>
      </c>
      <c r="K15" s="528">
        <f t="shared" si="1"/>
        <v>0</v>
      </c>
      <c r="L15" s="399"/>
      <c r="M15" s="110"/>
    </row>
    <row r="16" spans="1:13" ht="12.75" customHeight="1">
      <c r="A16" s="497"/>
      <c r="B16" s="73"/>
      <c r="C16" s="129"/>
      <c r="D16" s="109"/>
      <c r="E16" s="109"/>
      <c r="F16" s="109"/>
      <c r="G16" s="109"/>
      <c r="H16" s="109"/>
      <c r="I16" s="109"/>
      <c r="J16" s="528">
        <f t="shared" si="0"/>
        <v>0</v>
      </c>
      <c r="K16" s="528">
        <f t="shared" si="1"/>
        <v>0</v>
      </c>
      <c r="L16" s="399"/>
      <c r="M16" s="110"/>
    </row>
    <row r="17" spans="1:13" ht="12.75" customHeight="1">
      <c r="A17" s="162" t="s">
        <v>557</v>
      </c>
      <c r="B17" s="79">
        <v>1</v>
      </c>
      <c r="C17" s="80">
        <f t="shared" ref="C17:M17" si="2">SUM(C7:C16)</f>
        <v>0</v>
      </c>
      <c r="D17" s="81">
        <f t="shared" si="2"/>
        <v>0</v>
      </c>
      <c r="E17" s="81">
        <f t="shared" si="2"/>
        <v>0</v>
      </c>
      <c r="F17" s="81">
        <f t="shared" si="2"/>
        <v>0</v>
      </c>
      <c r="G17" s="81">
        <f t="shared" si="2"/>
        <v>0</v>
      </c>
      <c r="H17" s="81">
        <f t="shared" si="2"/>
        <v>0</v>
      </c>
      <c r="I17" s="81">
        <f t="shared" si="2"/>
        <v>5500000</v>
      </c>
      <c r="J17" s="539">
        <f t="shared" si="2"/>
        <v>5500000</v>
      </c>
      <c r="K17" s="539">
        <f t="shared" si="2"/>
        <v>5500000</v>
      </c>
      <c r="L17" s="539">
        <f t="shared" si="2"/>
        <v>6500000</v>
      </c>
      <c r="M17" s="82">
        <f t="shared" si="2"/>
        <v>7000000</v>
      </c>
    </row>
    <row r="18" spans="1:13" ht="5.0999999999999996" customHeight="1">
      <c r="A18" s="135"/>
      <c r="B18" s="73"/>
      <c r="C18" s="74"/>
      <c r="D18" s="75"/>
      <c r="E18" s="75"/>
      <c r="F18" s="75"/>
      <c r="G18" s="75"/>
      <c r="H18" s="75"/>
      <c r="I18" s="75"/>
      <c r="J18" s="528"/>
      <c r="K18" s="528"/>
      <c r="L18" s="528"/>
      <c r="M18" s="76"/>
    </row>
    <row r="19" spans="1:13" ht="12.75" customHeight="1">
      <c r="A19" s="125" t="s">
        <v>558</v>
      </c>
      <c r="B19" s="114"/>
      <c r="C19" s="74"/>
      <c r="D19" s="75"/>
      <c r="E19" s="75"/>
      <c r="F19" s="75"/>
      <c r="G19" s="75"/>
      <c r="H19" s="75"/>
      <c r="I19" s="75"/>
      <c r="J19" s="528"/>
      <c r="K19" s="528"/>
      <c r="L19" s="528"/>
      <c r="M19" s="76"/>
    </row>
    <row r="20" spans="1:13" ht="12.75" customHeight="1">
      <c r="A20" s="497" t="s">
        <v>559</v>
      </c>
      <c r="B20" s="654"/>
      <c r="C20" s="129"/>
      <c r="D20" s="109"/>
      <c r="E20" s="109"/>
      <c r="F20" s="109"/>
      <c r="G20" s="109"/>
      <c r="H20" s="109"/>
      <c r="I20" s="109">
        <v>5500000</v>
      </c>
      <c r="J20" s="528">
        <f t="shared" ref="J20:J29" si="3">SUM(E20:I20)</f>
        <v>5500000</v>
      </c>
      <c r="K20" s="528">
        <f t="shared" ref="K20:K29" si="4">IF(D20=0,C20+J20,D20+J20)</f>
        <v>5500000</v>
      </c>
      <c r="L20" s="399">
        <f>6500000-L33</f>
        <v>6475000</v>
      </c>
      <c r="M20" s="110">
        <f>7000000-M33</f>
        <v>6972500</v>
      </c>
    </row>
    <row r="21" spans="1:13" ht="12.75" customHeight="1">
      <c r="A21" s="497" t="s">
        <v>560</v>
      </c>
      <c r="B21" s="654"/>
      <c r="C21" s="129"/>
      <c r="D21" s="109"/>
      <c r="E21" s="109"/>
      <c r="F21" s="109"/>
      <c r="G21" s="109"/>
      <c r="H21" s="109"/>
      <c r="I21" s="109"/>
      <c r="J21" s="528">
        <f t="shared" si="3"/>
        <v>0</v>
      </c>
      <c r="K21" s="528">
        <f t="shared" si="4"/>
        <v>0</v>
      </c>
      <c r="L21" s="399"/>
      <c r="M21" s="110"/>
    </row>
    <row r="22" spans="1:13" ht="12.75" customHeight="1">
      <c r="A22" s="497" t="s">
        <v>561</v>
      </c>
      <c r="B22" s="654"/>
      <c r="C22" s="129"/>
      <c r="D22" s="109"/>
      <c r="E22" s="109"/>
      <c r="F22" s="109"/>
      <c r="G22" s="109"/>
      <c r="H22" s="109"/>
      <c r="I22" s="109"/>
      <c r="J22" s="528">
        <f t="shared" si="3"/>
        <v>0</v>
      </c>
      <c r="K22" s="528">
        <f t="shared" si="4"/>
        <v>0</v>
      </c>
      <c r="L22" s="399"/>
      <c r="M22" s="110"/>
    </row>
    <row r="23" spans="1:13" ht="12.75" customHeight="1">
      <c r="A23" s="497"/>
      <c r="B23" s="654"/>
      <c r="C23" s="129"/>
      <c r="D23" s="109"/>
      <c r="E23" s="109"/>
      <c r="F23" s="109"/>
      <c r="G23" s="109"/>
      <c r="H23" s="109"/>
      <c r="I23" s="109"/>
      <c r="J23" s="528">
        <f t="shared" si="3"/>
        <v>0</v>
      </c>
      <c r="K23" s="528">
        <f t="shared" si="4"/>
        <v>0</v>
      </c>
      <c r="L23" s="399"/>
      <c r="M23" s="110"/>
    </row>
    <row r="24" spans="1:13" ht="12.75" customHeight="1">
      <c r="A24" s="497"/>
      <c r="B24" s="654"/>
      <c r="C24" s="129"/>
      <c r="D24" s="109"/>
      <c r="E24" s="109"/>
      <c r="F24" s="109"/>
      <c r="G24" s="109"/>
      <c r="H24" s="109"/>
      <c r="I24" s="109"/>
      <c r="J24" s="528">
        <f t="shared" si="3"/>
        <v>0</v>
      </c>
      <c r="K24" s="528">
        <f t="shared" si="4"/>
        <v>0</v>
      </c>
      <c r="L24" s="399"/>
      <c r="M24" s="110"/>
    </row>
    <row r="25" spans="1:13" ht="12.75" customHeight="1">
      <c r="A25" s="497"/>
      <c r="B25" s="654"/>
      <c r="C25" s="129"/>
      <c r="D25" s="109"/>
      <c r="E25" s="109"/>
      <c r="F25" s="109"/>
      <c r="G25" s="109"/>
      <c r="H25" s="109"/>
      <c r="I25" s="109"/>
      <c r="J25" s="528">
        <f t="shared" si="3"/>
        <v>0</v>
      </c>
      <c r="K25" s="528">
        <f t="shared" si="4"/>
        <v>0</v>
      </c>
      <c r="L25" s="399"/>
      <c r="M25" s="110"/>
    </row>
    <row r="26" spans="1:13" ht="12.75" customHeight="1">
      <c r="A26" s="497"/>
      <c r="B26" s="654"/>
      <c r="C26" s="129"/>
      <c r="D26" s="109"/>
      <c r="E26" s="109"/>
      <c r="F26" s="109"/>
      <c r="G26" s="109"/>
      <c r="H26" s="109"/>
      <c r="I26" s="109"/>
      <c r="J26" s="528">
        <f t="shared" si="3"/>
        <v>0</v>
      </c>
      <c r="K26" s="528">
        <f t="shared" si="4"/>
        <v>0</v>
      </c>
      <c r="L26" s="399"/>
      <c r="M26" s="110"/>
    </row>
    <row r="27" spans="1:13" ht="12.75" customHeight="1">
      <c r="A27" s="497"/>
      <c r="B27" s="654"/>
      <c r="C27" s="129"/>
      <c r="D27" s="109"/>
      <c r="E27" s="109"/>
      <c r="F27" s="109"/>
      <c r="G27" s="109"/>
      <c r="H27" s="109"/>
      <c r="I27" s="109"/>
      <c r="J27" s="528">
        <f t="shared" si="3"/>
        <v>0</v>
      </c>
      <c r="K27" s="528">
        <f t="shared" si="4"/>
        <v>0</v>
      </c>
      <c r="L27" s="399"/>
      <c r="M27" s="110"/>
    </row>
    <row r="28" spans="1:13" ht="12.75" customHeight="1">
      <c r="A28" s="497"/>
      <c r="B28" s="654"/>
      <c r="C28" s="129"/>
      <c r="D28" s="109"/>
      <c r="E28" s="109"/>
      <c r="F28" s="109"/>
      <c r="G28" s="109"/>
      <c r="H28" s="109"/>
      <c r="I28" s="109"/>
      <c r="J28" s="528">
        <f t="shared" si="3"/>
        <v>0</v>
      </c>
      <c r="K28" s="528">
        <f t="shared" si="4"/>
        <v>0</v>
      </c>
      <c r="L28" s="399"/>
      <c r="M28" s="110"/>
    </row>
    <row r="29" spans="1:13" ht="12.75" customHeight="1">
      <c r="A29" s="497"/>
      <c r="B29" s="654"/>
      <c r="C29" s="129"/>
      <c r="D29" s="109"/>
      <c r="E29" s="109"/>
      <c r="F29" s="109"/>
      <c r="G29" s="109"/>
      <c r="H29" s="109"/>
      <c r="I29" s="109"/>
      <c r="J29" s="528">
        <f t="shared" si="3"/>
        <v>0</v>
      </c>
      <c r="K29" s="528">
        <f t="shared" si="4"/>
        <v>0</v>
      </c>
      <c r="L29" s="399"/>
      <c r="M29" s="110"/>
    </row>
    <row r="30" spans="1:13" ht="12.75" customHeight="1">
      <c r="A30" s="162" t="s">
        <v>562</v>
      </c>
      <c r="B30" s="79">
        <v>2</v>
      </c>
      <c r="C30" s="80">
        <f t="shared" ref="C30:M30" si="5">SUM(C20:C29)</f>
        <v>0</v>
      </c>
      <c r="D30" s="81">
        <f t="shared" si="5"/>
        <v>0</v>
      </c>
      <c r="E30" s="81">
        <f t="shared" si="5"/>
        <v>0</v>
      </c>
      <c r="F30" s="81">
        <f t="shared" si="5"/>
        <v>0</v>
      </c>
      <c r="G30" s="81">
        <f t="shared" si="5"/>
        <v>0</v>
      </c>
      <c r="H30" s="81">
        <f t="shared" si="5"/>
        <v>0</v>
      </c>
      <c r="I30" s="81">
        <f t="shared" si="5"/>
        <v>5500000</v>
      </c>
      <c r="J30" s="539">
        <f t="shared" si="5"/>
        <v>5500000</v>
      </c>
      <c r="K30" s="539">
        <f t="shared" si="5"/>
        <v>5500000</v>
      </c>
      <c r="L30" s="539">
        <f t="shared" si="5"/>
        <v>6475000</v>
      </c>
      <c r="M30" s="82">
        <f t="shared" si="5"/>
        <v>6972500</v>
      </c>
    </row>
    <row r="31" spans="1:13" ht="5.0999999999999996" customHeight="1">
      <c r="A31" s="135"/>
      <c r="B31" s="73"/>
      <c r="C31" s="74"/>
      <c r="D31" s="75"/>
      <c r="E31" s="75"/>
      <c r="F31" s="75"/>
      <c r="G31" s="75"/>
      <c r="H31" s="75"/>
      <c r="I31" s="75"/>
      <c r="J31" s="528"/>
      <c r="K31" s="528"/>
      <c r="L31" s="528"/>
      <c r="M31" s="76"/>
    </row>
    <row r="32" spans="1:13" ht="12.75" customHeight="1">
      <c r="A32" s="125" t="s">
        <v>563</v>
      </c>
      <c r="B32" s="136"/>
      <c r="C32" s="74"/>
      <c r="D32" s="75"/>
      <c r="E32" s="75"/>
      <c r="F32" s="75"/>
      <c r="G32" s="75"/>
      <c r="H32" s="75"/>
      <c r="I32" s="75"/>
      <c r="J32" s="528"/>
      <c r="K32" s="528"/>
      <c r="L32" s="528"/>
      <c r="M32" s="76"/>
    </row>
    <row r="33" spans="1:13" ht="12.75" customHeight="1">
      <c r="A33" s="497" t="s">
        <v>564</v>
      </c>
      <c r="B33" s="136"/>
      <c r="C33" s="129"/>
      <c r="D33" s="109"/>
      <c r="E33" s="109"/>
      <c r="F33" s="109"/>
      <c r="G33" s="109"/>
      <c r="H33" s="109"/>
      <c r="I33" s="109"/>
      <c r="J33" s="528">
        <f t="shared" ref="J33:J42" si="6">SUM(E33:I33)</f>
        <v>0</v>
      </c>
      <c r="K33" s="528">
        <f t="shared" ref="K33:K42" si="7">IF(D33=0,C33+J33,D33+J33)</f>
        <v>0</v>
      </c>
      <c r="L33" s="399">
        <v>25000</v>
      </c>
      <c r="M33" s="110">
        <v>27500</v>
      </c>
    </row>
    <row r="34" spans="1:13" ht="12.75" customHeight="1">
      <c r="A34" s="497" t="s">
        <v>565</v>
      </c>
      <c r="B34" s="136"/>
      <c r="C34" s="129"/>
      <c r="D34" s="109"/>
      <c r="E34" s="109"/>
      <c r="F34" s="109"/>
      <c r="G34" s="109"/>
      <c r="H34" s="109"/>
      <c r="I34" s="109"/>
      <c r="J34" s="528">
        <f t="shared" si="6"/>
        <v>0</v>
      </c>
      <c r="K34" s="528">
        <f t="shared" si="7"/>
        <v>0</v>
      </c>
      <c r="L34" s="399"/>
      <c r="M34" s="110"/>
    </row>
    <row r="35" spans="1:13" ht="12.75" customHeight="1">
      <c r="A35" s="497" t="s">
        <v>566</v>
      </c>
      <c r="B35" s="136"/>
      <c r="C35" s="129"/>
      <c r="D35" s="109"/>
      <c r="E35" s="109"/>
      <c r="F35" s="109"/>
      <c r="G35" s="109"/>
      <c r="H35" s="109"/>
      <c r="I35" s="109"/>
      <c r="J35" s="528">
        <f t="shared" si="6"/>
        <v>0</v>
      </c>
      <c r="K35" s="528">
        <f t="shared" si="7"/>
        <v>0</v>
      </c>
      <c r="L35" s="399"/>
      <c r="M35" s="110"/>
    </row>
    <row r="36" spans="1:13" ht="12.75" customHeight="1">
      <c r="A36" s="497"/>
      <c r="B36" s="136"/>
      <c r="C36" s="129"/>
      <c r="D36" s="109"/>
      <c r="E36" s="109"/>
      <c r="F36" s="109"/>
      <c r="G36" s="109"/>
      <c r="H36" s="109"/>
      <c r="I36" s="109"/>
      <c r="J36" s="528">
        <f t="shared" si="6"/>
        <v>0</v>
      </c>
      <c r="K36" s="528">
        <f t="shared" si="7"/>
        <v>0</v>
      </c>
      <c r="L36" s="399"/>
      <c r="M36" s="110"/>
    </row>
    <row r="37" spans="1:13" ht="12.75" customHeight="1">
      <c r="A37" s="497"/>
      <c r="B37" s="136"/>
      <c r="C37" s="129"/>
      <c r="D37" s="109"/>
      <c r="E37" s="109"/>
      <c r="F37" s="109"/>
      <c r="G37" s="109"/>
      <c r="H37" s="109"/>
      <c r="I37" s="109"/>
      <c r="J37" s="528">
        <f t="shared" si="6"/>
        <v>0</v>
      </c>
      <c r="K37" s="528">
        <f t="shared" si="7"/>
        <v>0</v>
      </c>
      <c r="L37" s="399"/>
      <c r="M37" s="110"/>
    </row>
    <row r="38" spans="1:13" ht="12.75" customHeight="1">
      <c r="A38" s="497"/>
      <c r="B38" s="136"/>
      <c r="C38" s="129"/>
      <c r="D38" s="109"/>
      <c r="E38" s="109"/>
      <c r="F38" s="109"/>
      <c r="G38" s="109"/>
      <c r="H38" s="109"/>
      <c r="I38" s="109"/>
      <c r="J38" s="528">
        <f t="shared" si="6"/>
        <v>0</v>
      </c>
      <c r="K38" s="528">
        <f t="shared" si="7"/>
        <v>0</v>
      </c>
      <c r="L38" s="399"/>
      <c r="M38" s="110"/>
    </row>
    <row r="39" spans="1:13" ht="12.75" customHeight="1">
      <c r="A39" s="497"/>
      <c r="B39" s="136"/>
      <c r="C39" s="129"/>
      <c r="D39" s="109"/>
      <c r="E39" s="109"/>
      <c r="F39" s="109"/>
      <c r="G39" s="109"/>
      <c r="H39" s="109"/>
      <c r="I39" s="109"/>
      <c r="J39" s="528">
        <f t="shared" si="6"/>
        <v>0</v>
      </c>
      <c r="K39" s="528">
        <f t="shared" si="7"/>
        <v>0</v>
      </c>
      <c r="L39" s="399"/>
      <c r="M39" s="110"/>
    </row>
    <row r="40" spans="1:13" ht="12.75" customHeight="1">
      <c r="A40" s="497"/>
      <c r="B40" s="136"/>
      <c r="C40" s="129"/>
      <c r="D40" s="109"/>
      <c r="E40" s="109"/>
      <c r="F40" s="109"/>
      <c r="G40" s="109"/>
      <c r="H40" s="109"/>
      <c r="I40" s="109"/>
      <c r="J40" s="528">
        <f t="shared" si="6"/>
        <v>0</v>
      </c>
      <c r="K40" s="528">
        <f t="shared" si="7"/>
        <v>0</v>
      </c>
      <c r="L40" s="399"/>
      <c r="M40" s="110"/>
    </row>
    <row r="41" spans="1:13" ht="12.75" customHeight="1">
      <c r="A41" s="497"/>
      <c r="B41" s="136"/>
      <c r="C41" s="129"/>
      <c r="D41" s="109"/>
      <c r="E41" s="109"/>
      <c r="F41" s="109"/>
      <c r="G41" s="109"/>
      <c r="H41" s="109"/>
      <c r="I41" s="109"/>
      <c r="J41" s="528">
        <f t="shared" si="6"/>
        <v>0</v>
      </c>
      <c r="K41" s="528">
        <f t="shared" si="7"/>
        <v>0</v>
      </c>
      <c r="L41" s="399"/>
      <c r="M41" s="110"/>
    </row>
    <row r="42" spans="1:13" ht="12.75" customHeight="1">
      <c r="A42" s="497"/>
      <c r="B42" s="136"/>
      <c r="C42" s="129"/>
      <c r="D42" s="109"/>
      <c r="E42" s="109"/>
      <c r="F42" s="109"/>
      <c r="G42" s="109"/>
      <c r="H42" s="109"/>
      <c r="I42" s="109"/>
      <c r="J42" s="528">
        <f t="shared" si="6"/>
        <v>0</v>
      </c>
      <c r="K42" s="528">
        <f t="shared" si="7"/>
        <v>0</v>
      </c>
      <c r="L42" s="399"/>
      <c r="M42" s="110"/>
    </row>
    <row r="43" spans="1:13" ht="12.75" customHeight="1">
      <c r="A43" s="154" t="s">
        <v>482</v>
      </c>
      <c r="B43" s="155">
        <v>2</v>
      </c>
      <c r="C43" s="156">
        <f t="shared" ref="C43:M43" si="8">SUM(C32:C42)</f>
        <v>0</v>
      </c>
      <c r="D43" s="116">
        <f t="shared" si="8"/>
        <v>0</v>
      </c>
      <c r="E43" s="116">
        <f t="shared" si="8"/>
        <v>0</v>
      </c>
      <c r="F43" s="116">
        <f t="shared" si="8"/>
        <v>0</v>
      </c>
      <c r="G43" s="116">
        <f t="shared" si="8"/>
        <v>0</v>
      </c>
      <c r="H43" s="116">
        <f t="shared" si="8"/>
        <v>0</v>
      </c>
      <c r="I43" s="116">
        <f t="shared" si="8"/>
        <v>0</v>
      </c>
      <c r="J43" s="543">
        <f t="shared" si="8"/>
        <v>0</v>
      </c>
      <c r="K43" s="543">
        <f t="shared" si="8"/>
        <v>0</v>
      </c>
      <c r="L43" s="543">
        <f t="shared" si="8"/>
        <v>25000</v>
      </c>
      <c r="M43" s="117">
        <f t="shared" si="8"/>
        <v>27500</v>
      </c>
    </row>
    <row r="44" spans="1:13" ht="12.75" customHeight="1">
      <c r="A44" s="157" t="str">
        <f>head27a</f>
        <v>References</v>
      </c>
      <c r="B44" s="120"/>
      <c r="C44" s="521"/>
      <c r="D44" s="521"/>
      <c r="E44" s="521"/>
      <c r="F44" s="521"/>
      <c r="G44" s="521"/>
      <c r="H44" s="521"/>
      <c r="I44" s="521"/>
      <c r="J44" s="521"/>
      <c r="K44" s="521"/>
      <c r="L44" s="521"/>
      <c r="M44" s="521"/>
    </row>
    <row r="45" spans="1:13" ht="12.75" customHeight="1">
      <c r="A45" s="99" t="s">
        <v>567</v>
      </c>
      <c r="B45" s="93"/>
      <c r="C45" s="96"/>
      <c r="D45" s="96"/>
      <c r="E45" s="96"/>
      <c r="F45" s="96"/>
      <c r="G45" s="96"/>
      <c r="H45" s="96"/>
      <c r="I45" s="96"/>
      <c r="J45" s="96"/>
      <c r="K45" s="96"/>
      <c r="L45" s="96"/>
      <c r="M45" s="96"/>
    </row>
    <row r="46" spans="1:13" ht="12.75" customHeight="1">
      <c r="A46" s="99" t="s">
        <v>568</v>
      </c>
      <c r="B46" s="93"/>
      <c r="C46" s="96"/>
      <c r="D46" s="96"/>
      <c r="E46" s="96"/>
      <c r="F46" s="96"/>
      <c r="G46" s="96"/>
      <c r="H46" s="96"/>
      <c r="I46" s="96"/>
      <c r="J46" s="96"/>
      <c r="K46" s="96"/>
      <c r="L46" s="96"/>
      <c r="M46" s="96"/>
    </row>
    <row r="47" spans="1:13" ht="12.75" customHeight="1">
      <c r="A47" s="1318" t="s">
        <v>1106</v>
      </c>
      <c r="B47" s="1318"/>
      <c r="C47" s="1318"/>
      <c r="D47" s="1318"/>
      <c r="E47" s="1318"/>
      <c r="F47" s="1318"/>
      <c r="G47" s="1318"/>
      <c r="H47" s="1318"/>
      <c r="I47" s="1318"/>
      <c r="J47" s="1318"/>
      <c r="K47" s="1318"/>
      <c r="L47" s="1318"/>
      <c r="M47" s="1318"/>
    </row>
    <row r="48" spans="1:13" ht="12.75" customHeight="1">
      <c r="A48" s="1318" t="s">
        <v>569</v>
      </c>
      <c r="B48" s="1318"/>
      <c r="C48" s="1318"/>
      <c r="D48" s="1318"/>
      <c r="E48" s="1318"/>
      <c r="F48" s="1318"/>
      <c r="G48" s="1318"/>
      <c r="H48" s="1318"/>
      <c r="I48" s="1318"/>
      <c r="J48" s="1318"/>
      <c r="K48" s="1318"/>
      <c r="L48" s="1318"/>
      <c r="M48" s="1318"/>
    </row>
    <row r="49" spans="1:13" ht="12.75" customHeight="1">
      <c r="A49" s="1318" t="s">
        <v>570</v>
      </c>
      <c r="B49" s="1318"/>
      <c r="C49" s="1318"/>
      <c r="D49" s="1318"/>
      <c r="E49" s="1318"/>
      <c r="F49" s="1318"/>
      <c r="G49" s="1318"/>
      <c r="H49" s="1318"/>
      <c r="I49" s="1318"/>
      <c r="J49" s="1318"/>
      <c r="K49" s="1318"/>
      <c r="L49" s="1318"/>
      <c r="M49" s="1318"/>
    </row>
    <row r="50" spans="1:13" ht="12.75" customHeight="1">
      <c r="A50" s="1318" t="s">
        <v>571</v>
      </c>
      <c r="B50" s="1318"/>
      <c r="C50" s="1318"/>
      <c r="D50" s="1318"/>
      <c r="E50" s="1318"/>
      <c r="F50" s="1318"/>
      <c r="G50" s="1318"/>
      <c r="H50" s="1318"/>
      <c r="I50" s="1318"/>
      <c r="J50" s="1318"/>
      <c r="K50" s="1318"/>
      <c r="L50" s="1318"/>
      <c r="M50" s="1318"/>
    </row>
    <row r="51" spans="1:13" ht="12.75" customHeight="1">
      <c r="A51" s="95" t="s">
        <v>572</v>
      </c>
      <c r="B51" s="93"/>
      <c r="C51" s="96"/>
      <c r="D51" s="96"/>
      <c r="E51" s="96"/>
      <c r="F51" s="96"/>
      <c r="G51" s="96"/>
      <c r="H51" s="96"/>
      <c r="I51" s="96"/>
      <c r="J51" s="96"/>
      <c r="K51" s="96"/>
      <c r="L51" s="96"/>
      <c r="M51" s="96"/>
    </row>
    <row r="52" spans="1:13" ht="12.75" customHeight="1">
      <c r="A52" s="99" t="s">
        <v>573</v>
      </c>
      <c r="B52" s="93"/>
      <c r="C52" s="96"/>
      <c r="D52" s="96"/>
      <c r="E52" s="96"/>
      <c r="F52" s="96"/>
      <c r="G52" s="96"/>
      <c r="H52" s="96"/>
      <c r="I52" s="96"/>
      <c r="J52" s="96"/>
      <c r="K52" s="96"/>
      <c r="L52" s="96"/>
      <c r="M52" s="96"/>
    </row>
    <row r="53" spans="1:13" ht="12.75" customHeight="1">
      <c r="A53" s="1318" t="s">
        <v>574</v>
      </c>
      <c r="B53" s="1318"/>
      <c r="C53" s="1318"/>
      <c r="D53" s="1318"/>
      <c r="E53" s="1318"/>
      <c r="F53" s="1318"/>
      <c r="G53" s="1318"/>
      <c r="H53" s="1318"/>
      <c r="I53" s="1318"/>
      <c r="J53" s="1318"/>
      <c r="K53" s="1318"/>
      <c r="L53" s="1318"/>
      <c r="M53" s="1318"/>
    </row>
    <row r="54" spans="1:13" ht="12.75" customHeight="1">
      <c r="A54" s="99" t="s">
        <v>575</v>
      </c>
      <c r="B54" s="93"/>
      <c r="C54" s="96"/>
      <c r="D54" s="96"/>
      <c r="E54" s="96"/>
      <c r="F54" s="96"/>
      <c r="G54" s="96"/>
      <c r="H54" s="96"/>
      <c r="I54" s="96"/>
      <c r="J54" s="96"/>
      <c r="K54" s="96"/>
      <c r="L54" s="96"/>
      <c r="M54" s="96"/>
    </row>
    <row r="55" spans="1:13" ht="12.75" customHeight="1">
      <c r="A55" s="100" t="s">
        <v>576</v>
      </c>
      <c r="B55" s="100"/>
      <c r="C55" s="100"/>
      <c r="D55" s="100"/>
      <c r="E55" s="100"/>
      <c r="F55" s="100"/>
      <c r="G55" s="100"/>
      <c r="H55" s="100"/>
      <c r="I55" s="100"/>
      <c r="J55" s="100"/>
      <c r="K55" s="100"/>
      <c r="L55" s="100"/>
      <c r="M55" s="100"/>
    </row>
    <row r="56" spans="1:13" ht="11.25" customHeight="1">
      <c r="B56" s="127"/>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mergeCells count="9">
    <mergeCell ref="A1:M1"/>
    <mergeCell ref="A2:A4"/>
    <mergeCell ref="B2:B4"/>
    <mergeCell ref="C2:K2"/>
    <mergeCell ref="A53:M53"/>
    <mergeCell ref="A49:M49"/>
    <mergeCell ref="A50:M50"/>
    <mergeCell ref="A47:M47"/>
    <mergeCell ref="A48:M48"/>
  </mergeCells>
  <phoneticPr fontId="17"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23">
    <tabColor indexed="44"/>
  </sheetPr>
  <dimension ref="A1:E166"/>
  <sheetViews>
    <sheetView showGridLines="0" topLeftCell="A40" workbookViewId="0">
      <selection activeCell="E22" sqref="E22"/>
    </sheetView>
  </sheetViews>
  <sheetFormatPr defaultRowHeight="11.25"/>
  <cols>
    <col min="1" max="1" width="37.5703125" style="975" customWidth="1"/>
    <col min="2" max="2" width="7.7109375" style="983" customWidth="1"/>
    <col min="3" max="3" width="47.85546875" style="984" customWidth="1"/>
    <col min="4" max="4" width="20" style="975" hidden="1" customWidth="1"/>
    <col min="5" max="5" width="43.42578125" style="975" customWidth="1"/>
    <col min="6" max="16384" width="9.140625" style="975"/>
  </cols>
  <sheetData>
    <row r="1" spans="1:5" ht="35.25" customHeight="1">
      <c r="A1" s="972" t="s">
        <v>1483</v>
      </c>
      <c r="B1" s="973"/>
      <c r="C1" s="974" t="s">
        <v>1484</v>
      </c>
      <c r="E1" s="972" t="s">
        <v>1485</v>
      </c>
    </row>
    <row r="2" spans="1:5">
      <c r="A2" s="975" t="s">
        <v>1633</v>
      </c>
      <c r="B2" s="976" t="s">
        <v>729</v>
      </c>
      <c r="C2" s="977" t="s">
        <v>1486</v>
      </c>
      <c r="E2" s="978"/>
    </row>
    <row r="3" spans="1:5">
      <c r="A3" s="975" t="s">
        <v>1634</v>
      </c>
      <c r="B3" s="979">
        <v>1.1000000000000001</v>
      </c>
      <c r="C3" s="980" t="s">
        <v>1641</v>
      </c>
      <c r="D3" s="975" t="str">
        <f t="shared" ref="D3:D12" si="0">CONCATENATE(B3, " - ", C3)</f>
        <v>1.1 - Administration Municipal Manager</v>
      </c>
      <c r="E3" s="981" t="s">
        <v>1687</v>
      </c>
    </row>
    <row r="4" spans="1:5">
      <c r="A4" s="975" t="s">
        <v>1635</v>
      </c>
      <c r="B4" s="979">
        <v>1.2</v>
      </c>
      <c r="C4" s="980" t="s">
        <v>1642</v>
      </c>
      <c r="D4" s="975" t="str">
        <f t="shared" si="0"/>
        <v>1.2 - Internal Audit</v>
      </c>
      <c r="E4" s="981" t="s">
        <v>1688</v>
      </c>
    </row>
    <row r="5" spans="1:5">
      <c r="A5" s="975" t="s">
        <v>1636</v>
      </c>
      <c r="B5" s="979">
        <v>1.3</v>
      </c>
      <c r="C5" s="980" t="s">
        <v>1643</v>
      </c>
      <c r="D5" s="975" t="str">
        <f t="shared" si="0"/>
        <v>1.3 - Disaster Management</v>
      </c>
      <c r="E5" s="981" t="s">
        <v>1689</v>
      </c>
    </row>
    <row r="6" spans="1:5">
      <c r="A6" s="975" t="s">
        <v>1637</v>
      </c>
      <c r="B6" s="979">
        <v>1.4</v>
      </c>
      <c r="C6" s="980" t="s">
        <v>1644</v>
      </c>
      <c r="D6" s="975" t="str">
        <f t="shared" si="0"/>
        <v>1.4 - Strategic Support</v>
      </c>
      <c r="E6" s="981" t="s">
        <v>1690</v>
      </c>
    </row>
    <row r="7" spans="1:5">
      <c r="A7" s="975" t="s">
        <v>1638</v>
      </c>
      <c r="B7" s="979">
        <v>1.5</v>
      </c>
      <c r="C7" s="980" t="s">
        <v>1645</v>
      </c>
      <c r="D7" s="975" t="str">
        <f t="shared" si="0"/>
        <v>1.5 - Risk Management</v>
      </c>
      <c r="E7" s="981" t="s">
        <v>1691</v>
      </c>
    </row>
    <row r="8" spans="1:5">
      <c r="A8" s="975" t="s">
        <v>1639</v>
      </c>
      <c r="B8" s="979">
        <v>1.6</v>
      </c>
      <c r="C8" s="980" t="s">
        <v>1487</v>
      </c>
      <c r="D8" s="975" t="str">
        <f t="shared" si="0"/>
        <v>1.6 - [Name of sub-vote]</v>
      </c>
      <c r="E8" s="981"/>
    </row>
    <row r="9" spans="1:5">
      <c r="A9" s="975" t="s">
        <v>1640</v>
      </c>
      <c r="B9" s="979">
        <v>1.7</v>
      </c>
      <c r="C9" s="980" t="s">
        <v>1487</v>
      </c>
      <c r="D9" s="975" t="str">
        <f t="shared" si="0"/>
        <v>1.7 - [Name of sub-vote]</v>
      </c>
      <c r="E9" s="981"/>
    </row>
    <row r="10" spans="1:5">
      <c r="A10" s="975" t="str">
        <f>B90&amp;" - "&amp;C90</f>
        <v>Vote 9 - [NAME OF VOTE 9]</v>
      </c>
      <c r="B10" s="979">
        <v>1.8</v>
      </c>
      <c r="C10" s="980" t="s">
        <v>1487</v>
      </c>
      <c r="D10" s="975" t="str">
        <f t="shared" si="0"/>
        <v>1.8 - [Name of sub-vote]</v>
      </c>
      <c r="E10" s="981"/>
    </row>
    <row r="11" spans="1:5">
      <c r="A11" s="975" t="str">
        <f>B101&amp;" - "&amp;C101</f>
        <v>Vote 10 - [NAME OF VOTE 10]</v>
      </c>
      <c r="B11" s="979">
        <v>1.9</v>
      </c>
      <c r="C11" s="980" t="s">
        <v>1487</v>
      </c>
      <c r="D11" s="975" t="str">
        <f t="shared" si="0"/>
        <v>1.9 - [Name of sub-vote]</v>
      </c>
      <c r="E11" s="981"/>
    </row>
    <row r="12" spans="1:5">
      <c r="A12" s="975" t="str">
        <f>B112&amp;" - "&amp;C112</f>
        <v>Vote 11 - [NAME OF VOTE 11]</v>
      </c>
      <c r="B12" s="979" t="s">
        <v>1488</v>
      </c>
      <c r="C12" s="980" t="s">
        <v>1487</v>
      </c>
      <c r="D12" s="975" t="str">
        <f t="shared" si="0"/>
        <v>1.10 - [Name of sub-vote]</v>
      </c>
      <c r="E12" s="981"/>
    </row>
    <row r="13" spans="1:5">
      <c r="A13" s="975" t="str">
        <f>B123&amp;" - "&amp;C123</f>
        <v>Vote 12 - [NAME OF VOTE 12]</v>
      </c>
      <c r="B13" s="976" t="s">
        <v>730</v>
      </c>
      <c r="C13" s="977" t="s">
        <v>1489</v>
      </c>
      <c r="E13" s="978"/>
    </row>
    <row r="14" spans="1:5">
      <c r="A14" s="975" t="str">
        <f>B134&amp;" - "&amp;C134</f>
        <v>Vote 13 - [NAME OF VOTE 13]</v>
      </c>
      <c r="B14" s="979">
        <v>2.1</v>
      </c>
      <c r="C14" s="980" t="s">
        <v>1646</v>
      </c>
      <c r="D14" s="975" t="str">
        <f t="shared" ref="D14:D23" si="1">CONCATENATE(B14, " - ", C14)</f>
        <v>2.1 - Administration Strategy &amp; Development</v>
      </c>
      <c r="E14" s="981" t="s">
        <v>1692</v>
      </c>
    </row>
    <row r="15" spans="1:5">
      <c r="A15" s="975" t="str">
        <f>B145&amp;" - "&amp;C145</f>
        <v>Vote 14 - [NAME OF VOTE 14]</v>
      </c>
      <c r="B15" s="979">
        <v>2.2000000000000002</v>
      </c>
      <c r="C15" s="980" t="s">
        <v>1647</v>
      </c>
      <c r="D15" s="975" t="str">
        <f t="shared" si="1"/>
        <v>2.2 - Local Economic Development</v>
      </c>
      <c r="E15" s="981" t="s">
        <v>1693</v>
      </c>
    </row>
    <row r="16" spans="1:5">
      <c r="A16" s="975" t="str">
        <f>B156&amp;" - "&amp;C156</f>
        <v>Vote 15 - [NAME OF VOTE 15]</v>
      </c>
      <c r="B16" s="979">
        <v>2.2999999999999998</v>
      </c>
      <c r="C16" s="980" t="s">
        <v>1648</v>
      </c>
      <c r="D16" s="975" t="str">
        <f t="shared" si="1"/>
        <v>2.3 - Town &amp; Regional Planning</v>
      </c>
      <c r="E16" s="981" t="s">
        <v>1694</v>
      </c>
    </row>
    <row r="17" spans="1:5">
      <c r="B17" s="979">
        <v>2.4</v>
      </c>
      <c r="C17" s="980" t="s">
        <v>1649</v>
      </c>
      <c r="D17" s="975" t="str">
        <f t="shared" si="1"/>
        <v>2.4 - Housing Administration</v>
      </c>
      <c r="E17" s="981" t="s">
        <v>1695</v>
      </c>
    </row>
    <row r="18" spans="1:5">
      <c r="B18" s="979">
        <v>2.5</v>
      </c>
      <c r="C18" s="980" t="s">
        <v>1650</v>
      </c>
      <c r="D18" s="975" t="str">
        <f t="shared" si="1"/>
        <v>2.5 - SATELITE OFFICE: NKOWANKOWA</v>
      </c>
      <c r="E18" s="981" t="s">
        <v>1696</v>
      </c>
    </row>
    <row r="19" spans="1:5">
      <c r="B19" s="979">
        <v>2.6</v>
      </c>
      <c r="C19" s="980" t="s">
        <v>1651</v>
      </c>
      <c r="D19" s="975" t="str">
        <f t="shared" si="1"/>
        <v>2.6 - SATELITE OFFICE: LENYENYE</v>
      </c>
      <c r="E19" s="981" t="s">
        <v>1697</v>
      </c>
    </row>
    <row r="20" spans="1:5">
      <c r="B20" s="979">
        <v>2.7</v>
      </c>
      <c r="C20" s="980" t="s">
        <v>1652</v>
      </c>
      <c r="D20" s="975" t="str">
        <f t="shared" si="1"/>
        <v>2.7 - SATELITE OFFICE: LETSITELE</v>
      </c>
      <c r="E20" s="981" t="s">
        <v>1698</v>
      </c>
    </row>
    <row r="21" spans="1:5">
      <c r="A21" s="978"/>
      <c r="B21" s="979">
        <v>2.8</v>
      </c>
      <c r="C21" s="980" t="s">
        <v>1487</v>
      </c>
      <c r="D21" s="975" t="str">
        <f t="shared" si="1"/>
        <v>2.8 - [Name of sub-vote]</v>
      </c>
      <c r="E21" s="981"/>
    </row>
    <row r="22" spans="1:5">
      <c r="B22" s="979">
        <v>2.9</v>
      </c>
      <c r="C22" s="980" t="s">
        <v>1487</v>
      </c>
      <c r="D22" s="975" t="str">
        <f t="shared" si="1"/>
        <v>2.9 - [Name of sub-vote]</v>
      </c>
      <c r="E22" s="981"/>
    </row>
    <row r="23" spans="1:5">
      <c r="B23" s="979" t="s">
        <v>1490</v>
      </c>
      <c r="C23" s="980" t="s">
        <v>1487</v>
      </c>
      <c r="D23" s="975" t="str">
        <f t="shared" si="1"/>
        <v>2.10 - [Name of sub-vote]</v>
      </c>
      <c r="E23" s="981"/>
    </row>
    <row r="24" spans="1:5">
      <c r="B24" s="976" t="s">
        <v>731</v>
      </c>
      <c r="C24" s="977" t="s">
        <v>1491</v>
      </c>
      <c r="E24" s="981"/>
    </row>
    <row r="25" spans="1:5">
      <c r="B25" s="979">
        <v>3.1</v>
      </c>
      <c r="C25" s="980" t="s">
        <v>1653</v>
      </c>
      <c r="D25" s="975" t="str">
        <f t="shared" ref="D25:D34" si="2">CONCATENATE(B25, " - ", C25)</f>
        <v>3.1 - Administration Finance</v>
      </c>
      <c r="E25" s="981" t="s">
        <v>1699</v>
      </c>
    </row>
    <row r="26" spans="1:5">
      <c r="B26" s="979">
        <v>3.2</v>
      </c>
      <c r="C26" s="980" t="s">
        <v>1654</v>
      </c>
      <c r="D26" s="975" t="str">
        <f t="shared" si="2"/>
        <v>3.2 - Budget office</v>
      </c>
      <c r="E26" s="981" t="s">
        <v>1700</v>
      </c>
    </row>
    <row r="27" spans="1:5">
      <c r="B27" s="979">
        <v>3.3</v>
      </c>
      <c r="C27" s="980" t="s">
        <v>1655</v>
      </c>
      <c r="D27" s="975" t="str">
        <f t="shared" si="2"/>
        <v>3.3 - Revenue</v>
      </c>
      <c r="E27" s="981" t="s">
        <v>1701</v>
      </c>
    </row>
    <row r="28" spans="1:5">
      <c r="B28" s="979">
        <v>3.4</v>
      </c>
      <c r="C28" s="980" t="s">
        <v>1656</v>
      </c>
      <c r="D28" s="975" t="str">
        <f t="shared" si="2"/>
        <v>3.4 - Expenditure</v>
      </c>
      <c r="E28" s="981" t="s">
        <v>1702</v>
      </c>
    </row>
    <row r="29" spans="1:5">
      <c r="B29" s="979">
        <v>3.5</v>
      </c>
      <c r="C29" s="980" t="s">
        <v>749</v>
      </c>
      <c r="D29" s="975" t="str">
        <f t="shared" si="2"/>
        <v>3.5 - Inventory</v>
      </c>
      <c r="E29" s="981" t="s">
        <v>1703</v>
      </c>
    </row>
    <row r="30" spans="1:5">
      <c r="B30" s="979">
        <v>3.6</v>
      </c>
      <c r="C30" s="980" t="s">
        <v>1657</v>
      </c>
      <c r="D30" s="975" t="str">
        <f t="shared" si="2"/>
        <v>3.6 - Supply Chain Management</v>
      </c>
      <c r="E30" s="981" t="s">
        <v>1704</v>
      </c>
    </row>
    <row r="31" spans="1:5">
      <c r="B31" s="979">
        <v>3.7</v>
      </c>
      <c r="C31" s="980" t="s">
        <v>1487</v>
      </c>
      <c r="D31" s="975" t="str">
        <f t="shared" si="2"/>
        <v>3.7 - [Name of sub-vote]</v>
      </c>
      <c r="E31" s="981"/>
    </row>
    <row r="32" spans="1:5">
      <c r="B32" s="979">
        <v>3.8</v>
      </c>
      <c r="C32" s="980" t="s">
        <v>1487</v>
      </c>
      <c r="D32" s="975" t="str">
        <f t="shared" si="2"/>
        <v>3.8 - [Name of sub-vote]</v>
      </c>
      <c r="E32" s="981"/>
    </row>
    <row r="33" spans="2:5">
      <c r="B33" s="979">
        <v>3.9</v>
      </c>
      <c r="C33" s="980" t="s">
        <v>1487</v>
      </c>
      <c r="D33" s="975" t="str">
        <f t="shared" si="2"/>
        <v>3.9 - [Name of sub-vote]</v>
      </c>
      <c r="E33" s="981"/>
    </row>
    <row r="34" spans="2:5">
      <c r="B34" s="979" t="s">
        <v>1492</v>
      </c>
      <c r="C34" s="980" t="s">
        <v>1487</v>
      </c>
      <c r="D34" s="975" t="str">
        <f t="shared" si="2"/>
        <v>3.10 - [Name of sub-vote]</v>
      </c>
      <c r="E34" s="981"/>
    </row>
    <row r="35" spans="2:5">
      <c r="B35" s="976" t="s">
        <v>732</v>
      </c>
      <c r="C35" s="977" t="s">
        <v>1493</v>
      </c>
      <c r="E35" s="981"/>
    </row>
    <row r="36" spans="2:5">
      <c r="B36" s="979">
        <v>4.0999999999999996</v>
      </c>
      <c r="C36" s="980" t="s">
        <v>1658</v>
      </c>
      <c r="D36" s="975" t="str">
        <f t="shared" ref="D36:D45" si="3">CONCATENATE(B36, " - ", C36)</f>
        <v>4.1 - Communications</v>
      </c>
      <c r="E36" s="981" t="s">
        <v>1705</v>
      </c>
    </row>
    <row r="37" spans="2:5">
      <c r="B37" s="979">
        <v>4.2</v>
      </c>
      <c r="C37" s="980" t="s">
        <v>1659</v>
      </c>
      <c r="D37" s="975" t="str">
        <f t="shared" si="3"/>
        <v>4.2 - Public Participation &amp; Project Support</v>
      </c>
      <c r="E37" s="981" t="s">
        <v>1706</v>
      </c>
    </row>
    <row r="38" spans="2:5">
      <c r="B38" s="979">
        <v>4.3</v>
      </c>
      <c r="C38" s="980" t="s">
        <v>1660</v>
      </c>
      <c r="D38" s="975" t="str">
        <f t="shared" si="3"/>
        <v>4.3 - Satelite Offices</v>
      </c>
      <c r="E38" s="981" t="s">
        <v>1707</v>
      </c>
    </row>
    <row r="39" spans="2:5">
      <c r="B39" s="979">
        <v>4.4000000000000004</v>
      </c>
      <c r="C39" s="980" t="s">
        <v>1661</v>
      </c>
      <c r="D39" s="975" t="str">
        <f t="shared" si="3"/>
        <v>4.4 - Administration HR &amp; Corporate</v>
      </c>
      <c r="E39" s="981" t="s">
        <v>1708</v>
      </c>
    </row>
    <row r="40" spans="2:5">
      <c r="B40" s="979">
        <v>4.5</v>
      </c>
      <c r="C40" s="980" t="s">
        <v>1115</v>
      </c>
      <c r="D40" s="975" t="str">
        <f t="shared" si="3"/>
        <v>4.5 - Human Resources</v>
      </c>
      <c r="E40" s="981" t="s">
        <v>1709</v>
      </c>
    </row>
    <row r="41" spans="2:5">
      <c r="B41" s="979">
        <v>4.5999999999999996</v>
      </c>
      <c r="C41" s="980" t="s">
        <v>1662</v>
      </c>
      <c r="D41" s="975" t="str">
        <f t="shared" si="3"/>
        <v>4.6 - Occupational Health &amp; safety</v>
      </c>
      <c r="E41" s="981" t="s">
        <v>1710</v>
      </c>
    </row>
    <row r="42" spans="2:5">
      <c r="B42" s="979">
        <v>4.7</v>
      </c>
      <c r="C42" s="980" t="s">
        <v>1663</v>
      </c>
      <c r="D42" s="975" t="str">
        <f t="shared" si="3"/>
        <v>4.7 - Legal Services</v>
      </c>
      <c r="E42" s="981" t="s">
        <v>1711</v>
      </c>
    </row>
    <row r="43" spans="2:5">
      <c r="B43" s="979">
        <v>4.8</v>
      </c>
      <c r="C43" s="980" t="s">
        <v>1664</v>
      </c>
      <c r="D43" s="975" t="str">
        <f t="shared" si="3"/>
        <v>4.8 - Corporate Services</v>
      </c>
      <c r="E43" s="981" t="s">
        <v>1712</v>
      </c>
    </row>
    <row r="44" spans="2:5">
      <c r="B44" s="979">
        <v>4.9000000000000004</v>
      </c>
      <c r="C44" s="980" t="s">
        <v>1665</v>
      </c>
      <c r="D44" s="975" t="str">
        <f t="shared" si="3"/>
        <v>4.9 - Council Expenditure</v>
      </c>
      <c r="E44" s="981" t="s">
        <v>1713</v>
      </c>
    </row>
    <row r="45" spans="2:5">
      <c r="B45" s="979" t="s">
        <v>1494</v>
      </c>
      <c r="C45" s="980" t="s">
        <v>1666</v>
      </c>
      <c r="D45" s="975" t="str">
        <f t="shared" si="3"/>
        <v>4.10 - Information Technolgy</v>
      </c>
      <c r="E45" s="981"/>
    </row>
    <row r="46" spans="2:5">
      <c r="B46" s="976" t="s">
        <v>733</v>
      </c>
      <c r="C46" s="977" t="s">
        <v>1495</v>
      </c>
      <c r="E46" s="981"/>
    </row>
    <row r="47" spans="2:5">
      <c r="B47" s="979">
        <v>5.0999999999999996</v>
      </c>
      <c r="C47" s="980" t="s">
        <v>1667</v>
      </c>
      <c r="D47" s="975" t="str">
        <f t="shared" ref="D47:D56" si="4">CONCATENATE(B47, " - ", C47)</f>
        <v>5.1 - Parks &amp; Recreation</v>
      </c>
      <c r="E47" s="981" t="s">
        <v>1714</v>
      </c>
    </row>
    <row r="48" spans="2:5">
      <c r="B48" s="979">
        <v>5.2</v>
      </c>
      <c r="C48" s="980" t="s">
        <v>1668</v>
      </c>
      <c r="D48" s="975" t="str">
        <f t="shared" si="4"/>
        <v>5.2 - Administration Community Services</v>
      </c>
      <c r="E48" s="981" t="s">
        <v>1715</v>
      </c>
    </row>
    <row r="49" spans="2:5">
      <c r="B49" s="979">
        <v>5.3</v>
      </c>
      <c r="C49" s="980" t="s">
        <v>1669</v>
      </c>
      <c r="D49" s="975" t="str">
        <f t="shared" si="4"/>
        <v>5.3 - Community Health Services</v>
      </c>
      <c r="E49" s="981" t="s">
        <v>1716</v>
      </c>
    </row>
    <row r="50" spans="2:5">
      <c r="B50" s="979">
        <v>5.4</v>
      </c>
      <c r="C50" s="980" t="s">
        <v>1670</v>
      </c>
      <c r="D50" s="975" t="str">
        <f t="shared" si="4"/>
        <v>5.4 - Enviromental Health Services</v>
      </c>
      <c r="E50" s="981" t="s">
        <v>1717</v>
      </c>
    </row>
    <row r="51" spans="2:5">
      <c r="B51" s="979">
        <v>5.5</v>
      </c>
      <c r="C51" s="980" t="s">
        <v>1671</v>
      </c>
      <c r="D51" s="975" t="str">
        <f t="shared" si="4"/>
        <v>5.5 - Library Services</v>
      </c>
      <c r="E51" s="981" t="s">
        <v>1718</v>
      </c>
    </row>
    <row r="52" spans="2:5">
      <c r="B52" s="979">
        <v>5.6</v>
      </c>
      <c r="C52" s="980" t="s">
        <v>1147</v>
      </c>
      <c r="D52" s="975" t="str">
        <f t="shared" si="4"/>
        <v>5.6 - Solid Waste</v>
      </c>
      <c r="E52" s="981" t="s">
        <v>1719</v>
      </c>
    </row>
    <row r="53" spans="2:5">
      <c r="B53" s="979">
        <v>5.7</v>
      </c>
      <c r="C53" s="980" t="s">
        <v>1672</v>
      </c>
      <c r="D53" s="975" t="str">
        <f t="shared" si="4"/>
        <v>5.7 - Street Cleansing</v>
      </c>
      <c r="E53" s="981" t="s">
        <v>1720</v>
      </c>
    </row>
    <row r="54" spans="2:5">
      <c r="B54" s="979">
        <v>5.8</v>
      </c>
      <c r="C54" s="980" t="s">
        <v>1146</v>
      </c>
      <c r="D54" s="975" t="str">
        <f t="shared" si="4"/>
        <v>5.8 - Public Toilets</v>
      </c>
      <c r="E54" s="981" t="s">
        <v>1721</v>
      </c>
    </row>
    <row r="55" spans="2:5">
      <c r="B55" s="979">
        <v>5.9</v>
      </c>
      <c r="C55" s="980" t="s">
        <v>1487</v>
      </c>
      <c r="D55" s="975" t="str">
        <f t="shared" si="4"/>
        <v>5.9 - [Name of sub-vote]</v>
      </c>
      <c r="E55" s="981"/>
    </row>
    <row r="56" spans="2:5">
      <c r="B56" s="979" t="s">
        <v>1496</v>
      </c>
      <c r="C56" s="980" t="s">
        <v>1487</v>
      </c>
      <c r="D56" s="975" t="str">
        <f t="shared" si="4"/>
        <v>5.10 - [Name of sub-vote]</v>
      </c>
      <c r="E56" s="981"/>
    </row>
    <row r="57" spans="2:5">
      <c r="B57" s="976" t="s">
        <v>734</v>
      </c>
      <c r="C57" s="977" t="s">
        <v>1497</v>
      </c>
      <c r="E57" s="981"/>
    </row>
    <row r="58" spans="2:5">
      <c r="B58" s="979">
        <v>6.1</v>
      </c>
      <c r="C58" s="980" t="s">
        <v>1673</v>
      </c>
      <c r="D58" s="975" t="str">
        <f t="shared" ref="D58:D67" si="5">CONCATENATE(B58, " - ", C58)</f>
        <v>6.1 - Traffic services</v>
      </c>
      <c r="E58" s="981" t="s">
        <v>1722</v>
      </c>
    </row>
    <row r="59" spans="2:5">
      <c r="B59" s="979">
        <v>6.2</v>
      </c>
      <c r="C59" s="980" t="s">
        <v>1674</v>
      </c>
      <c r="D59" s="975" t="str">
        <f t="shared" si="5"/>
        <v>6.2 - Administration Transport,safety,Security</v>
      </c>
      <c r="E59" s="981" t="s">
        <v>1723</v>
      </c>
    </row>
    <row r="60" spans="2:5">
      <c r="B60" s="979">
        <v>6.3</v>
      </c>
      <c r="C60" s="980" t="s">
        <v>1675</v>
      </c>
      <c r="D60" s="975" t="str">
        <f t="shared" si="5"/>
        <v>6.3 - Vehicle licencing</v>
      </c>
      <c r="E60" s="981" t="s">
        <v>1724</v>
      </c>
    </row>
    <row r="61" spans="2:5">
      <c r="B61" s="979">
        <v>6.4</v>
      </c>
      <c r="C61" s="980" t="s">
        <v>1487</v>
      </c>
      <c r="D61" s="975" t="str">
        <f t="shared" si="5"/>
        <v>6.4 - [Name of sub-vote]</v>
      </c>
      <c r="E61" s="981"/>
    </row>
    <row r="62" spans="2:5">
      <c r="B62" s="979">
        <v>6.5</v>
      </c>
      <c r="C62" s="980" t="s">
        <v>1487</v>
      </c>
      <c r="D62" s="975" t="str">
        <f t="shared" si="5"/>
        <v>6.5 - [Name of sub-vote]</v>
      </c>
      <c r="E62" s="981"/>
    </row>
    <row r="63" spans="2:5">
      <c r="B63" s="979">
        <v>6.6</v>
      </c>
      <c r="C63" s="980" t="s">
        <v>1487</v>
      </c>
      <c r="D63" s="975" t="str">
        <f t="shared" si="5"/>
        <v>6.6 - [Name of sub-vote]</v>
      </c>
      <c r="E63" s="981"/>
    </row>
    <row r="64" spans="2:5">
      <c r="B64" s="979">
        <v>6.7</v>
      </c>
      <c r="C64" s="980" t="s">
        <v>1487</v>
      </c>
      <c r="D64" s="975" t="str">
        <f t="shared" si="5"/>
        <v>6.7 - [Name of sub-vote]</v>
      </c>
      <c r="E64" s="981"/>
    </row>
    <row r="65" spans="2:5">
      <c r="B65" s="979">
        <v>6.8</v>
      </c>
      <c r="C65" s="980" t="s">
        <v>1487</v>
      </c>
      <c r="D65" s="975" t="str">
        <f t="shared" si="5"/>
        <v>6.8 - [Name of sub-vote]</v>
      </c>
      <c r="E65" s="981"/>
    </row>
    <row r="66" spans="2:5">
      <c r="B66" s="979">
        <v>6.9</v>
      </c>
      <c r="C66" s="980" t="s">
        <v>1487</v>
      </c>
      <c r="D66" s="975" t="str">
        <f t="shared" si="5"/>
        <v>6.9 - [Name of sub-vote]</v>
      </c>
      <c r="E66" s="981"/>
    </row>
    <row r="67" spans="2:5">
      <c r="B67" s="979" t="s">
        <v>1498</v>
      </c>
      <c r="C67" s="980" t="s">
        <v>1487</v>
      </c>
      <c r="D67" s="975" t="str">
        <f t="shared" si="5"/>
        <v>6.10 - [Name of sub-vote]</v>
      </c>
      <c r="E67" s="981"/>
    </row>
    <row r="68" spans="2:5">
      <c r="B68" s="982" t="s">
        <v>735</v>
      </c>
      <c r="C68" s="977" t="s">
        <v>1499</v>
      </c>
      <c r="E68" s="981"/>
    </row>
    <row r="69" spans="2:5">
      <c r="B69" s="979">
        <v>7.1</v>
      </c>
      <c r="C69" s="980" t="s">
        <v>1676</v>
      </c>
      <c r="D69" s="975" t="str">
        <f t="shared" ref="D69:D78" si="6">CONCATENATE(B69, " - ", C69)</f>
        <v>7.1 - Administration Electrical Engineering</v>
      </c>
      <c r="E69" s="981" t="s">
        <v>1725</v>
      </c>
    </row>
    <row r="70" spans="2:5">
      <c r="B70" s="979">
        <v>7.2</v>
      </c>
      <c r="C70" s="980" t="s">
        <v>1677</v>
      </c>
      <c r="D70" s="975" t="str">
        <f t="shared" si="6"/>
        <v>7.2 - Operations &amp; Maintenance: Rural</v>
      </c>
      <c r="E70" s="981" t="s">
        <v>1726</v>
      </c>
    </row>
    <row r="71" spans="2:5">
      <c r="B71" s="979">
        <v>7.3</v>
      </c>
      <c r="C71" s="980" t="s">
        <v>1678</v>
      </c>
      <c r="D71" s="975" t="str">
        <f t="shared" si="6"/>
        <v>7.3 - Operations &amp; Maintenance: Town</v>
      </c>
      <c r="E71" s="981" t="s">
        <v>1727</v>
      </c>
    </row>
    <row r="72" spans="2:5">
      <c r="B72" s="979">
        <v>7.4</v>
      </c>
      <c r="C72" s="980" t="s">
        <v>1487</v>
      </c>
      <c r="D72" s="975" t="str">
        <f t="shared" si="6"/>
        <v>7.4 - [Name of sub-vote]</v>
      </c>
      <c r="E72" s="981"/>
    </row>
    <row r="73" spans="2:5">
      <c r="B73" s="979">
        <v>7.5</v>
      </c>
      <c r="C73" s="980" t="s">
        <v>1487</v>
      </c>
      <c r="D73" s="975" t="str">
        <f t="shared" si="6"/>
        <v>7.5 - [Name of sub-vote]</v>
      </c>
      <c r="E73" s="981"/>
    </row>
    <row r="74" spans="2:5">
      <c r="B74" s="979">
        <v>7.6</v>
      </c>
      <c r="C74" s="980" t="s">
        <v>1487</v>
      </c>
      <c r="D74" s="975" t="str">
        <f t="shared" si="6"/>
        <v>7.6 - [Name of sub-vote]</v>
      </c>
      <c r="E74" s="981"/>
    </row>
    <row r="75" spans="2:5">
      <c r="B75" s="979">
        <v>7.7</v>
      </c>
      <c r="C75" s="980" t="s">
        <v>1487</v>
      </c>
      <c r="D75" s="975" t="str">
        <f t="shared" si="6"/>
        <v>7.7 - [Name of sub-vote]</v>
      </c>
      <c r="E75" s="981"/>
    </row>
    <row r="76" spans="2:5">
      <c r="B76" s="979">
        <v>7.8</v>
      </c>
      <c r="C76" s="980" t="s">
        <v>1487</v>
      </c>
      <c r="D76" s="975" t="str">
        <f t="shared" si="6"/>
        <v>7.8 - [Name of sub-vote]</v>
      </c>
      <c r="E76" s="981"/>
    </row>
    <row r="77" spans="2:5">
      <c r="B77" s="979">
        <v>7.9</v>
      </c>
      <c r="C77" s="980" t="s">
        <v>1487</v>
      </c>
      <c r="D77" s="975" t="str">
        <f t="shared" si="6"/>
        <v>7.9 - [Name of sub-vote]</v>
      </c>
      <c r="E77" s="981"/>
    </row>
    <row r="78" spans="2:5">
      <c r="B78" s="979" t="s">
        <v>1500</v>
      </c>
      <c r="C78" s="980" t="s">
        <v>1487</v>
      </c>
      <c r="D78" s="975" t="str">
        <f t="shared" si="6"/>
        <v>7.10 - [Name of sub-vote]</v>
      </c>
      <c r="E78" s="981"/>
    </row>
    <row r="79" spans="2:5">
      <c r="B79" s="982" t="s">
        <v>736</v>
      </c>
      <c r="C79" s="977" t="s">
        <v>1501</v>
      </c>
      <c r="E79" s="981"/>
    </row>
    <row r="80" spans="2:5">
      <c r="B80" s="979">
        <v>8.1</v>
      </c>
      <c r="C80" s="980" t="s">
        <v>1679</v>
      </c>
      <c r="D80" s="975" t="str">
        <f t="shared" ref="D80:D89" si="7">CONCATENATE(B80, " - ", C80)</f>
        <v>8.1 - Fleet Management</v>
      </c>
      <c r="E80" s="981" t="s">
        <v>1728</v>
      </c>
    </row>
    <row r="81" spans="2:5">
      <c r="B81" s="979">
        <v>8.1999999999999993</v>
      </c>
      <c r="C81" s="980" t="s">
        <v>1680</v>
      </c>
      <c r="D81" s="975" t="str">
        <f t="shared" si="7"/>
        <v>8.2 - Administration Civil Engineering</v>
      </c>
      <c r="E81" s="981" t="s">
        <v>1729</v>
      </c>
    </row>
    <row r="82" spans="2:5">
      <c r="B82" s="979">
        <v>8.3000000000000007</v>
      </c>
      <c r="C82" s="980" t="s">
        <v>1681</v>
      </c>
      <c r="D82" s="975" t="str">
        <f t="shared" si="7"/>
        <v>8.3 - Roads &amp; stormwater Management</v>
      </c>
      <c r="E82" s="981" t="s">
        <v>1730</v>
      </c>
    </row>
    <row r="83" spans="2:5">
      <c r="B83" s="979">
        <v>8.4</v>
      </c>
      <c r="C83" s="980" t="s">
        <v>1682</v>
      </c>
      <c r="D83" s="975" t="str">
        <f t="shared" si="7"/>
        <v>8.4 - Water Networks</v>
      </c>
      <c r="E83" s="981" t="s">
        <v>1731</v>
      </c>
    </row>
    <row r="84" spans="2:5">
      <c r="B84" s="979">
        <v>8.5</v>
      </c>
      <c r="C84" s="980" t="s">
        <v>1683</v>
      </c>
      <c r="D84" s="975" t="str">
        <f t="shared" si="7"/>
        <v>8.5 - Water Purification</v>
      </c>
      <c r="E84" s="981" t="s">
        <v>1732</v>
      </c>
    </row>
    <row r="85" spans="2:5">
      <c r="B85" s="979">
        <v>8.6</v>
      </c>
      <c r="C85" s="980" t="s">
        <v>1684</v>
      </c>
      <c r="D85" s="975" t="str">
        <f t="shared" si="7"/>
        <v>8.6 - Building &amp; Housing</v>
      </c>
      <c r="E85" s="981" t="s">
        <v>1733</v>
      </c>
    </row>
    <row r="86" spans="2:5">
      <c r="B86" s="979">
        <v>8.6999999999999993</v>
      </c>
      <c r="C86" s="980" t="s">
        <v>1685</v>
      </c>
      <c r="D86" s="975" t="str">
        <f t="shared" si="7"/>
        <v>8.7 - Project Management</v>
      </c>
      <c r="E86" s="981" t="s">
        <v>1734</v>
      </c>
    </row>
    <row r="87" spans="2:5">
      <c r="B87" s="979">
        <v>8.8000000000000007</v>
      </c>
      <c r="C87" s="980" t="s">
        <v>1686</v>
      </c>
      <c r="D87" s="975" t="str">
        <f t="shared" si="7"/>
        <v>8.8 - Sewerage Purification</v>
      </c>
      <c r="E87" s="981" t="s">
        <v>1735</v>
      </c>
    </row>
    <row r="88" spans="2:5">
      <c r="B88" s="979">
        <v>8.9</v>
      </c>
      <c r="C88" s="980" t="s">
        <v>1487</v>
      </c>
      <c r="D88" s="975" t="str">
        <f t="shared" si="7"/>
        <v>8.9 - [Name of sub-vote]</v>
      </c>
      <c r="E88" s="981"/>
    </row>
    <row r="89" spans="2:5">
      <c r="B89" s="979" t="s">
        <v>1502</v>
      </c>
      <c r="C89" s="980" t="s">
        <v>1487</v>
      </c>
      <c r="D89" s="975" t="str">
        <f t="shared" si="7"/>
        <v>8.10 - [Name of sub-vote]</v>
      </c>
      <c r="E89" s="981"/>
    </row>
    <row r="90" spans="2:5">
      <c r="B90" s="982" t="s">
        <v>737</v>
      </c>
      <c r="C90" s="977" t="s">
        <v>1503</v>
      </c>
      <c r="E90" s="981"/>
    </row>
    <row r="91" spans="2:5">
      <c r="B91" s="979">
        <v>9.1</v>
      </c>
      <c r="C91" s="980" t="s">
        <v>1487</v>
      </c>
      <c r="D91" s="975" t="str">
        <f t="shared" ref="D91:D100" si="8">CONCATENATE(B91, " - ", C91)</f>
        <v>9.1 - [Name of sub-vote]</v>
      </c>
      <c r="E91" s="981" t="s">
        <v>1504</v>
      </c>
    </row>
    <row r="92" spans="2:5">
      <c r="B92" s="979">
        <v>9.1999999999999993</v>
      </c>
      <c r="C92" s="980" t="s">
        <v>1487</v>
      </c>
      <c r="D92" s="975" t="str">
        <f t="shared" si="8"/>
        <v>9.2 - [Name of sub-vote]</v>
      </c>
      <c r="E92" s="981"/>
    </row>
    <row r="93" spans="2:5">
      <c r="B93" s="979">
        <v>9.3000000000000007</v>
      </c>
      <c r="C93" s="980" t="s">
        <v>1487</v>
      </c>
      <c r="D93" s="975" t="str">
        <f t="shared" si="8"/>
        <v>9.3 - [Name of sub-vote]</v>
      </c>
      <c r="E93" s="981"/>
    </row>
    <row r="94" spans="2:5">
      <c r="B94" s="979">
        <v>9.4</v>
      </c>
      <c r="C94" s="980" t="s">
        <v>1487</v>
      </c>
      <c r="D94" s="975" t="str">
        <f t="shared" si="8"/>
        <v>9.4 - [Name of sub-vote]</v>
      </c>
      <c r="E94" s="981"/>
    </row>
    <row r="95" spans="2:5">
      <c r="B95" s="979">
        <v>9.5</v>
      </c>
      <c r="C95" s="980" t="s">
        <v>1487</v>
      </c>
      <c r="D95" s="975" t="str">
        <f t="shared" si="8"/>
        <v>9.5 - [Name of sub-vote]</v>
      </c>
      <c r="E95" s="981"/>
    </row>
    <row r="96" spans="2:5">
      <c r="B96" s="979">
        <v>9.6</v>
      </c>
      <c r="C96" s="980" t="s">
        <v>1487</v>
      </c>
      <c r="D96" s="975" t="str">
        <f t="shared" si="8"/>
        <v>9.6 - [Name of sub-vote]</v>
      </c>
      <c r="E96" s="981"/>
    </row>
    <row r="97" spans="2:5">
      <c r="B97" s="979">
        <v>9.6999999999999993</v>
      </c>
      <c r="C97" s="980" t="s">
        <v>1487</v>
      </c>
      <c r="D97" s="975" t="str">
        <f t="shared" si="8"/>
        <v>9.7 - [Name of sub-vote]</v>
      </c>
      <c r="E97" s="981"/>
    </row>
    <row r="98" spans="2:5">
      <c r="B98" s="979">
        <v>9.8000000000000007</v>
      </c>
      <c r="C98" s="980" t="s">
        <v>1487</v>
      </c>
      <c r="D98" s="975" t="str">
        <f t="shared" si="8"/>
        <v>9.8 - [Name of sub-vote]</v>
      </c>
      <c r="E98" s="981"/>
    </row>
    <row r="99" spans="2:5">
      <c r="B99" s="979">
        <v>9.9</v>
      </c>
      <c r="C99" s="980" t="s">
        <v>1487</v>
      </c>
      <c r="D99" s="975" t="str">
        <f t="shared" si="8"/>
        <v>9.9 - [Name of sub-vote]</v>
      </c>
      <c r="E99" s="981"/>
    </row>
    <row r="100" spans="2:5">
      <c r="B100" s="979" t="s">
        <v>1505</v>
      </c>
      <c r="C100" s="980" t="s">
        <v>1487</v>
      </c>
      <c r="D100" s="975" t="str">
        <f t="shared" si="8"/>
        <v>9.10 - [Name of sub-vote]</v>
      </c>
      <c r="E100" s="981"/>
    </row>
    <row r="101" spans="2:5">
      <c r="B101" s="982" t="s">
        <v>738</v>
      </c>
      <c r="C101" s="977" t="s">
        <v>1506</v>
      </c>
      <c r="E101" s="981"/>
    </row>
    <row r="102" spans="2:5">
      <c r="B102" s="979">
        <v>10.1</v>
      </c>
      <c r="C102" s="980" t="s">
        <v>1487</v>
      </c>
      <c r="D102" s="975" t="str">
        <f t="shared" ref="D102:D111" si="9">CONCATENATE(B102, " - ", C102)</f>
        <v>10.1 - [Name of sub-vote]</v>
      </c>
      <c r="E102" s="981" t="s">
        <v>1507</v>
      </c>
    </row>
    <row r="103" spans="2:5">
      <c r="B103" s="979">
        <v>10.199999999999999</v>
      </c>
      <c r="C103" s="980" t="s">
        <v>1487</v>
      </c>
      <c r="D103" s="975" t="str">
        <f t="shared" si="9"/>
        <v>10.2 - [Name of sub-vote]</v>
      </c>
      <c r="E103" s="981"/>
    </row>
    <row r="104" spans="2:5">
      <c r="B104" s="979">
        <v>10.3</v>
      </c>
      <c r="C104" s="980" t="s">
        <v>1487</v>
      </c>
      <c r="D104" s="975" t="str">
        <f t="shared" si="9"/>
        <v>10.3 - [Name of sub-vote]</v>
      </c>
      <c r="E104" s="981"/>
    </row>
    <row r="105" spans="2:5">
      <c r="B105" s="979">
        <v>10.4</v>
      </c>
      <c r="C105" s="980" t="s">
        <v>1487</v>
      </c>
      <c r="D105" s="975" t="str">
        <f t="shared" si="9"/>
        <v>10.4 - [Name of sub-vote]</v>
      </c>
      <c r="E105" s="981"/>
    </row>
    <row r="106" spans="2:5">
      <c r="B106" s="979">
        <v>10.5</v>
      </c>
      <c r="C106" s="980" t="s">
        <v>1487</v>
      </c>
      <c r="D106" s="975" t="str">
        <f t="shared" si="9"/>
        <v>10.5 - [Name of sub-vote]</v>
      </c>
      <c r="E106" s="981"/>
    </row>
    <row r="107" spans="2:5">
      <c r="B107" s="979">
        <v>10.6</v>
      </c>
      <c r="C107" s="980" t="s">
        <v>1487</v>
      </c>
      <c r="D107" s="975" t="str">
        <f t="shared" si="9"/>
        <v>10.6 - [Name of sub-vote]</v>
      </c>
      <c r="E107" s="981"/>
    </row>
    <row r="108" spans="2:5">
      <c r="B108" s="979">
        <v>10.7</v>
      </c>
      <c r="C108" s="980" t="s">
        <v>1487</v>
      </c>
      <c r="D108" s="975" t="str">
        <f t="shared" si="9"/>
        <v>10.7 - [Name of sub-vote]</v>
      </c>
      <c r="E108" s="981"/>
    </row>
    <row r="109" spans="2:5">
      <c r="B109" s="979">
        <v>10.8</v>
      </c>
      <c r="C109" s="980" t="s">
        <v>1487</v>
      </c>
      <c r="D109" s="975" t="str">
        <f t="shared" si="9"/>
        <v>10.8 - [Name of sub-vote]</v>
      </c>
      <c r="E109" s="981"/>
    </row>
    <row r="110" spans="2:5">
      <c r="B110" s="979">
        <v>10.9</v>
      </c>
      <c r="C110" s="980" t="s">
        <v>1487</v>
      </c>
      <c r="D110" s="975" t="str">
        <f t="shared" si="9"/>
        <v>10.9 - [Name of sub-vote]</v>
      </c>
      <c r="E110" s="981"/>
    </row>
    <row r="111" spans="2:5">
      <c r="B111" s="979" t="s">
        <v>1508</v>
      </c>
      <c r="C111" s="980" t="s">
        <v>1487</v>
      </c>
      <c r="D111" s="975" t="str">
        <f t="shared" si="9"/>
        <v>10.10 - [Name of sub-vote]</v>
      </c>
      <c r="E111" s="981"/>
    </row>
    <row r="112" spans="2:5">
      <c r="B112" s="982" t="s">
        <v>739</v>
      </c>
      <c r="C112" s="977" t="s">
        <v>1509</v>
      </c>
      <c r="E112" s="981"/>
    </row>
    <row r="113" spans="2:5">
      <c r="B113" s="979">
        <v>11.1</v>
      </c>
      <c r="C113" s="980" t="s">
        <v>1487</v>
      </c>
      <c r="D113" s="975" t="str">
        <f t="shared" ref="D113:D122" si="10">CONCATENATE(B113, " - ", C113)</f>
        <v>11.1 - [Name of sub-vote]</v>
      </c>
      <c r="E113" s="981" t="s">
        <v>1510</v>
      </c>
    </row>
    <row r="114" spans="2:5">
      <c r="B114" s="979">
        <v>11.2</v>
      </c>
      <c r="C114" s="980" t="s">
        <v>1487</v>
      </c>
      <c r="D114" s="975" t="str">
        <f t="shared" si="10"/>
        <v>11.2 - [Name of sub-vote]</v>
      </c>
      <c r="E114" s="981"/>
    </row>
    <row r="115" spans="2:5">
      <c r="B115" s="979">
        <v>11.3</v>
      </c>
      <c r="C115" s="980" t="s">
        <v>1487</v>
      </c>
      <c r="D115" s="975" t="str">
        <f t="shared" si="10"/>
        <v>11.3 - [Name of sub-vote]</v>
      </c>
      <c r="E115" s="981"/>
    </row>
    <row r="116" spans="2:5">
      <c r="B116" s="979">
        <v>11.4</v>
      </c>
      <c r="C116" s="980" t="s">
        <v>1487</v>
      </c>
      <c r="D116" s="975" t="str">
        <f t="shared" si="10"/>
        <v>11.4 - [Name of sub-vote]</v>
      </c>
      <c r="E116" s="981"/>
    </row>
    <row r="117" spans="2:5">
      <c r="B117" s="979">
        <v>11.5</v>
      </c>
      <c r="C117" s="980" t="s">
        <v>1487</v>
      </c>
      <c r="D117" s="975" t="str">
        <f t="shared" si="10"/>
        <v>11.5 - [Name of sub-vote]</v>
      </c>
      <c r="E117" s="981"/>
    </row>
    <row r="118" spans="2:5">
      <c r="B118" s="979">
        <v>11.6</v>
      </c>
      <c r="C118" s="980" t="s">
        <v>1487</v>
      </c>
      <c r="D118" s="975" t="str">
        <f t="shared" si="10"/>
        <v>11.6 - [Name of sub-vote]</v>
      </c>
      <c r="E118" s="981"/>
    </row>
    <row r="119" spans="2:5">
      <c r="B119" s="979">
        <v>11.7</v>
      </c>
      <c r="C119" s="980" t="s">
        <v>1487</v>
      </c>
      <c r="D119" s="975" t="str">
        <f t="shared" si="10"/>
        <v>11.7 - [Name of sub-vote]</v>
      </c>
      <c r="E119" s="981"/>
    </row>
    <row r="120" spans="2:5">
      <c r="B120" s="979">
        <v>11.8</v>
      </c>
      <c r="C120" s="980" t="s">
        <v>1487</v>
      </c>
      <c r="D120" s="975" t="str">
        <f t="shared" si="10"/>
        <v>11.8 - [Name of sub-vote]</v>
      </c>
      <c r="E120" s="981"/>
    </row>
    <row r="121" spans="2:5">
      <c r="B121" s="979">
        <v>11.9</v>
      </c>
      <c r="C121" s="980" t="s">
        <v>1487</v>
      </c>
      <c r="D121" s="975" t="str">
        <f t="shared" si="10"/>
        <v>11.9 - [Name of sub-vote]</v>
      </c>
      <c r="E121" s="981"/>
    </row>
    <row r="122" spans="2:5">
      <c r="B122" s="979" t="s">
        <v>1511</v>
      </c>
      <c r="C122" s="980" t="s">
        <v>1487</v>
      </c>
      <c r="D122" s="975" t="str">
        <f t="shared" si="10"/>
        <v>11.10 - [Name of sub-vote]</v>
      </c>
      <c r="E122" s="981"/>
    </row>
    <row r="123" spans="2:5">
      <c r="B123" s="982" t="s">
        <v>740</v>
      </c>
      <c r="C123" s="977" t="s">
        <v>1512</v>
      </c>
      <c r="E123" s="981"/>
    </row>
    <row r="124" spans="2:5">
      <c r="B124" s="979">
        <v>12.1</v>
      </c>
      <c r="C124" s="980" t="s">
        <v>1487</v>
      </c>
      <c r="D124" s="975" t="str">
        <f t="shared" ref="D124:D133" si="11">CONCATENATE(B124, " - ", C124)</f>
        <v>12.1 - [Name of sub-vote]</v>
      </c>
      <c r="E124" s="981" t="s">
        <v>1513</v>
      </c>
    </row>
    <row r="125" spans="2:5">
      <c r="B125" s="979">
        <v>12.2</v>
      </c>
      <c r="C125" s="980" t="s">
        <v>1487</v>
      </c>
      <c r="D125" s="975" t="str">
        <f t="shared" si="11"/>
        <v>12.2 - [Name of sub-vote]</v>
      </c>
      <c r="E125" s="981"/>
    </row>
    <row r="126" spans="2:5">
      <c r="B126" s="979">
        <v>12.3</v>
      </c>
      <c r="C126" s="980" t="s">
        <v>1487</v>
      </c>
      <c r="D126" s="975" t="str">
        <f t="shared" si="11"/>
        <v>12.3 - [Name of sub-vote]</v>
      </c>
      <c r="E126" s="981"/>
    </row>
    <row r="127" spans="2:5">
      <c r="B127" s="979">
        <v>12.4</v>
      </c>
      <c r="C127" s="980" t="s">
        <v>1487</v>
      </c>
      <c r="D127" s="975" t="str">
        <f t="shared" si="11"/>
        <v>12.4 - [Name of sub-vote]</v>
      </c>
      <c r="E127" s="981"/>
    </row>
    <row r="128" spans="2:5">
      <c r="B128" s="979">
        <v>12.5</v>
      </c>
      <c r="C128" s="980" t="s">
        <v>1487</v>
      </c>
      <c r="D128" s="975" t="str">
        <f t="shared" si="11"/>
        <v>12.5 - [Name of sub-vote]</v>
      </c>
      <c r="E128" s="981"/>
    </row>
    <row r="129" spans="2:5">
      <c r="B129" s="979">
        <v>12.6</v>
      </c>
      <c r="C129" s="980" t="s">
        <v>1487</v>
      </c>
      <c r="D129" s="975" t="str">
        <f t="shared" si="11"/>
        <v>12.6 - [Name of sub-vote]</v>
      </c>
      <c r="E129" s="981"/>
    </row>
    <row r="130" spans="2:5">
      <c r="B130" s="979">
        <v>12.7</v>
      </c>
      <c r="C130" s="980" t="s">
        <v>1487</v>
      </c>
      <c r="D130" s="975" t="str">
        <f t="shared" si="11"/>
        <v>12.7 - [Name of sub-vote]</v>
      </c>
      <c r="E130" s="981"/>
    </row>
    <row r="131" spans="2:5">
      <c r="B131" s="979">
        <v>12.8</v>
      </c>
      <c r="C131" s="980" t="s">
        <v>1487</v>
      </c>
      <c r="D131" s="975" t="str">
        <f t="shared" si="11"/>
        <v>12.8 - [Name of sub-vote]</v>
      </c>
      <c r="E131" s="981"/>
    </row>
    <row r="132" spans="2:5">
      <c r="B132" s="979">
        <v>12.9</v>
      </c>
      <c r="C132" s="980" t="s">
        <v>1487</v>
      </c>
      <c r="D132" s="975" t="str">
        <f t="shared" si="11"/>
        <v>12.9 - [Name of sub-vote]</v>
      </c>
      <c r="E132" s="981"/>
    </row>
    <row r="133" spans="2:5">
      <c r="B133" s="979" t="s">
        <v>1514</v>
      </c>
      <c r="C133" s="980" t="s">
        <v>1487</v>
      </c>
      <c r="D133" s="975" t="str">
        <f t="shared" si="11"/>
        <v>12.10 - [Name of sub-vote]</v>
      </c>
      <c r="E133" s="981"/>
    </row>
    <row r="134" spans="2:5">
      <c r="B134" s="982" t="s">
        <v>741</v>
      </c>
      <c r="C134" s="977" t="s">
        <v>1515</v>
      </c>
      <c r="E134" s="981"/>
    </row>
    <row r="135" spans="2:5">
      <c r="B135" s="979">
        <v>13.1</v>
      </c>
      <c r="C135" s="980" t="s">
        <v>1487</v>
      </c>
      <c r="D135" s="975" t="str">
        <f t="shared" ref="D135:D144" si="12">CONCATENATE(B135, " - ", C135)</f>
        <v>13.1 - [Name of sub-vote]</v>
      </c>
      <c r="E135" s="981" t="s">
        <v>1516</v>
      </c>
    </row>
    <row r="136" spans="2:5">
      <c r="B136" s="979">
        <v>13.2</v>
      </c>
      <c r="C136" s="980" t="s">
        <v>1487</v>
      </c>
      <c r="D136" s="975" t="str">
        <f t="shared" si="12"/>
        <v>13.2 - [Name of sub-vote]</v>
      </c>
      <c r="E136" s="981"/>
    </row>
    <row r="137" spans="2:5">
      <c r="B137" s="979">
        <v>13.3</v>
      </c>
      <c r="C137" s="980" t="s">
        <v>1487</v>
      </c>
      <c r="D137" s="975" t="str">
        <f t="shared" si="12"/>
        <v>13.3 - [Name of sub-vote]</v>
      </c>
      <c r="E137" s="981"/>
    </row>
    <row r="138" spans="2:5">
      <c r="B138" s="979">
        <v>13.4</v>
      </c>
      <c r="C138" s="980" t="s">
        <v>1487</v>
      </c>
      <c r="D138" s="975" t="str">
        <f t="shared" si="12"/>
        <v>13.4 - [Name of sub-vote]</v>
      </c>
      <c r="E138" s="981"/>
    </row>
    <row r="139" spans="2:5">
      <c r="B139" s="979">
        <v>13.5</v>
      </c>
      <c r="C139" s="980" t="s">
        <v>1487</v>
      </c>
      <c r="D139" s="975" t="str">
        <f t="shared" si="12"/>
        <v>13.5 - [Name of sub-vote]</v>
      </c>
      <c r="E139" s="981"/>
    </row>
    <row r="140" spans="2:5">
      <c r="B140" s="979">
        <v>13.6</v>
      </c>
      <c r="C140" s="980" t="s">
        <v>1487</v>
      </c>
      <c r="D140" s="975" t="str">
        <f t="shared" si="12"/>
        <v>13.6 - [Name of sub-vote]</v>
      </c>
      <c r="E140" s="981"/>
    </row>
    <row r="141" spans="2:5">
      <c r="B141" s="979">
        <v>13.7</v>
      </c>
      <c r="C141" s="980" t="s">
        <v>1487</v>
      </c>
      <c r="D141" s="975" t="str">
        <f t="shared" si="12"/>
        <v>13.7 - [Name of sub-vote]</v>
      </c>
      <c r="E141" s="981"/>
    </row>
    <row r="142" spans="2:5">
      <c r="B142" s="979">
        <v>13.8</v>
      </c>
      <c r="C142" s="980" t="s">
        <v>1487</v>
      </c>
      <c r="D142" s="975" t="str">
        <f t="shared" si="12"/>
        <v>13.8 - [Name of sub-vote]</v>
      </c>
      <c r="E142" s="981"/>
    </row>
    <row r="143" spans="2:5">
      <c r="B143" s="979">
        <v>13.9</v>
      </c>
      <c r="C143" s="980" t="s">
        <v>1487</v>
      </c>
      <c r="D143" s="975" t="str">
        <f t="shared" si="12"/>
        <v>13.9 - [Name of sub-vote]</v>
      </c>
      <c r="E143" s="981"/>
    </row>
    <row r="144" spans="2:5">
      <c r="B144" s="979" t="s">
        <v>1517</v>
      </c>
      <c r="C144" s="980" t="s">
        <v>1487</v>
      </c>
      <c r="D144" s="975" t="str">
        <f t="shared" si="12"/>
        <v>13.10 - [Name of sub-vote]</v>
      </c>
      <c r="E144" s="981"/>
    </row>
    <row r="145" spans="2:5">
      <c r="B145" s="982" t="s">
        <v>742</v>
      </c>
      <c r="C145" s="977" t="s">
        <v>1518</v>
      </c>
      <c r="E145" s="981"/>
    </row>
    <row r="146" spans="2:5">
      <c r="B146" s="979">
        <v>14.1</v>
      </c>
      <c r="C146" s="980" t="s">
        <v>1487</v>
      </c>
      <c r="D146" s="975" t="str">
        <f t="shared" ref="D146:D155" si="13">CONCATENATE(B146, " - ", C146)</f>
        <v>14.1 - [Name of sub-vote]</v>
      </c>
      <c r="E146" s="981" t="s">
        <v>1519</v>
      </c>
    </row>
    <row r="147" spans="2:5">
      <c r="B147" s="979">
        <v>14.2</v>
      </c>
      <c r="C147" s="980" t="s">
        <v>1487</v>
      </c>
      <c r="D147" s="975" t="str">
        <f t="shared" si="13"/>
        <v>14.2 - [Name of sub-vote]</v>
      </c>
      <c r="E147" s="981"/>
    </row>
    <row r="148" spans="2:5">
      <c r="B148" s="979">
        <v>14.3</v>
      </c>
      <c r="C148" s="980" t="s">
        <v>1487</v>
      </c>
      <c r="D148" s="975" t="str">
        <f t="shared" si="13"/>
        <v>14.3 - [Name of sub-vote]</v>
      </c>
      <c r="E148" s="981"/>
    </row>
    <row r="149" spans="2:5">
      <c r="B149" s="979">
        <v>14.4</v>
      </c>
      <c r="C149" s="980" t="s">
        <v>1487</v>
      </c>
      <c r="D149" s="975" t="str">
        <f t="shared" si="13"/>
        <v>14.4 - [Name of sub-vote]</v>
      </c>
      <c r="E149" s="981"/>
    </row>
    <row r="150" spans="2:5">
      <c r="B150" s="979">
        <v>14.5</v>
      </c>
      <c r="C150" s="980" t="s">
        <v>1487</v>
      </c>
      <c r="D150" s="975" t="str">
        <f t="shared" si="13"/>
        <v>14.5 - [Name of sub-vote]</v>
      </c>
      <c r="E150" s="981"/>
    </row>
    <row r="151" spans="2:5">
      <c r="B151" s="979">
        <v>14.6</v>
      </c>
      <c r="C151" s="980" t="s">
        <v>1487</v>
      </c>
      <c r="D151" s="975" t="str">
        <f t="shared" si="13"/>
        <v>14.6 - [Name of sub-vote]</v>
      </c>
      <c r="E151" s="981"/>
    </row>
    <row r="152" spans="2:5">
      <c r="B152" s="979">
        <v>14.7</v>
      </c>
      <c r="C152" s="980" t="s">
        <v>1487</v>
      </c>
      <c r="D152" s="975" t="str">
        <f t="shared" si="13"/>
        <v>14.7 - [Name of sub-vote]</v>
      </c>
      <c r="E152" s="981"/>
    </row>
    <row r="153" spans="2:5">
      <c r="B153" s="979">
        <v>14.8</v>
      </c>
      <c r="C153" s="980" t="s">
        <v>1487</v>
      </c>
      <c r="D153" s="975" t="str">
        <f t="shared" si="13"/>
        <v>14.8 - [Name of sub-vote]</v>
      </c>
      <c r="E153" s="981"/>
    </row>
    <row r="154" spans="2:5">
      <c r="B154" s="979">
        <v>14.9</v>
      </c>
      <c r="C154" s="980" t="s">
        <v>1487</v>
      </c>
      <c r="D154" s="975" t="str">
        <f t="shared" si="13"/>
        <v>14.9 - [Name of sub-vote]</v>
      </c>
      <c r="E154" s="981"/>
    </row>
    <row r="155" spans="2:5">
      <c r="B155" s="979" t="s">
        <v>1520</v>
      </c>
      <c r="C155" s="980" t="s">
        <v>1487</v>
      </c>
      <c r="D155" s="975" t="str">
        <f t="shared" si="13"/>
        <v>14.10 - [Name of sub-vote]</v>
      </c>
      <c r="E155" s="981"/>
    </row>
    <row r="156" spans="2:5">
      <c r="B156" s="982" t="s">
        <v>743</v>
      </c>
      <c r="C156" s="977" t="s">
        <v>1521</v>
      </c>
      <c r="E156" s="981"/>
    </row>
    <row r="157" spans="2:5">
      <c r="B157" s="979">
        <v>15.1</v>
      </c>
      <c r="C157" s="980" t="s">
        <v>1487</v>
      </c>
      <c r="D157" s="975" t="str">
        <f t="shared" ref="D157:D166" si="14">CONCATENATE(B157, " - ", C157)</f>
        <v>15.1 - [Name of sub-vote]</v>
      </c>
      <c r="E157" s="981" t="s">
        <v>1522</v>
      </c>
    </row>
    <row r="158" spans="2:5">
      <c r="B158" s="979">
        <v>15.2</v>
      </c>
      <c r="C158" s="980" t="s">
        <v>1487</v>
      </c>
      <c r="D158" s="975" t="str">
        <f t="shared" si="14"/>
        <v>15.2 - [Name of sub-vote]</v>
      </c>
      <c r="E158" s="981"/>
    </row>
    <row r="159" spans="2:5">
      <c r="B159" s="979">
        <v>15.3</v>
      </c>
      <c r="C159" s="980" t="s">
        <v>1487</v>
      </c>
      <c r="D159" s="975" t="str">
        <f t="shared" si="14"/>
        <v>15.3 - [Name of sub-vote]</v>
      </c>
      <c r="E159" s="981"/>
    </row>
    <row r="160" spans="2:5">
      <c r="B160" s="979">
        <v>15.4</v>
      </c>
      <c r="C160" s="980" t="s">
        <v>1487</v>
      </c>
      <c r="D160" s="975" t="str">
        <f t="shared" si="14"/>
        <v>15.4 - [Name of sub-vote]</v>
      </c>
      <c r="E160" s="981"/>
    </row>
    <row r="161" spans="2:5">
      <c r="B161" s="979">
        <v>15.5</v>
      </c>
      <c r="C161" s="980" t="s">
        <v>1487</v>
      </c>
      <c r="D161" s="975" t="str">
        <f t="shared" si="14"/>
        <v>15.5 - [Name of sub-vote]</v>
      </c>
      <c r="E161" s="981"/>
    </row>
    <row r="162" spans="2:5">
      <c r="B162" s="979">
        <v>15.6</v>
      </c>
      <c r="C162" s="980" t="s">
        <v>1487</v>
      </c>
      <c r="D162" s="975" t="str">
        <f t="shared" si="14"/>
        <v>15.6 - [Name of sub-vote]</v>
      </c>
      <c r="E162" s="981"/>
    </row>
    <row r="163" spans="2:5">
      <c r="B163" s="979">
        <v>15.7</v>
      </c>
      <c r="C163" s="980" t="s">
        <v>1487</v>
      </c>
      <c r="D163" s="975" t="str">
        <f t="shared" si="14"/>
        <v>15.7 - [Name of sub-vote]</v>
      </c>
      <c r="E163" s="981"/>
    </row>
    <row r="164" spans="2:5">
      <c r="B164" s="979">
        <v>15.8</v>
      </c>
      <c r="C164" s="980" t="s">
        <v>1487</v>
      </c>
      <c r="D164" s="975" t="str">
        <f t="shared" si="14"/>
        <v>15.8 - [Name of sub-vote]</v>
      </c>
      <c r="E164" s="981"/>
    </row>
    <row r="165" spans="2:5">
      <c r="B165" s="979">
        <v>15.9</v>
      </c>
      <c r="C165" s="980" t="s">
        <v>1487</v>
      </c>
      <c r="D165" s="975" t="str">
        <f t="shared" si="14"/>
        <v>15.9 - [Name of sub-vote]</v>
      </c>
      <c r="E165" s="981"/>
    </row>
    <row r="166" spans="2:5">
      <c r="B166" s="979" t="s">
        <v>1523</v>
      </c>
      <c r="C166" s="980" t="s">
        <v>1487</v>
      </c>
      <c r="D166" s="975" t="str">
        <f t="shared" si="14"/>
        <v>15.10 - [Name of sub-vote]</v>
      </c>
      <c r="E166" s="981"/>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sheetPr codeName="Sheet12">
    <tabColor indexed="44"/>
  </sheetPr>
  <dimension ref="A1:Y1528"/>
  <sheetViews>
    <sheetView showGridLines="0" topLeftCell="A82" workbookViewId="0">
      <selection activeCell="D36" sqref="D36"/>
    </sheetView>
  </sheetViews>
  <sheetFormatPr defaultRowHeight="12.75"/>
  <cols>
    <col min="1" max="1" width="20.7109375" style="988" customWidth="1"/>
    <col min="2" max="2" width="40.7109375" style="988" customWidth="1"/>
    <col min="3" max="3" width="20.7109375" style="988" customWidth="1"/>
    <col min="4" max="4" width="40.7109375" style="988" customWidth="1"/>
    <col min="5" max="5" width="8.85546875" style="988" customWidth="1"/>
    <col min="6" max="10" width="8.7109375" style="254" customWidth="1"/>
    <col min="11" max="15" width="12.85546875" style="254" customWidth="1"/>
    <col min="16" max="17" width="30.7109375" style="254" customWidth="1"/>
    <col min="18" max="16384" width="9.140625" style="989"/>
  </cols>
  <sheetData>
    <row r="1" spans="1:17" ht="13.5" customHeight="1">
      <c r="A1" s="940" t="str">
        <f>'Template names'!$B$63&amp;" - "&amp;" Contact Information"</f>
        <v>LIM333 Greater Tzaneen -  Contact Information</v>
      </c>
      <c r="B1" s="987"/>
    </row>
    <row r="2" spans="1:17" ht="13.5" customHeight="1">
      <c r="A2" s="990"/>
      <c r="B2" s="991"/>
      <c r="C2" s="990"/>
      <c r="D2" s="990"/>
    </row>
    <row r="3" spans="1:17" ht="13.5" customHeight="1" thickBot="1">
      <c r="A3" s="992" t="s">
        <v>1401</v>
      </c>
      <c r="B3" s="993"/>
      <c r="C3" s="990"/>
      <c r="D3" s="990"/>
    </row>
    <row r="4" spans="1:17" ht="13.5" customHeight="1" thickTop="1">
      <c r="A4" s="994" t="s">
        <v>1402</v>
      </c>
      <c r="B4" s="995" t="str">
        <f>'Template names'!$B$63</f>
        <v>LIM333 Greater Tzaneen</v>
      </c>
      <c r="C4" s="996" t="s">
        <v>844</v>
      </c>
      <c r="D4" s="997"/>
      <c r="F4" s="998"/>
      <c r="G4" s="998"/>
      <c r="H4" s="998"/>
      <c r="I4" s="999"/>
      <c r="J4" s="998"/>
      <c r="K4" s="1000"/>
      <c r="L4" s="1000"/>
      <c r="M4" s="1000"/>
      <c r="N4" s="1000"/>
      <c r="O4" s="1000"/>
      <c r="P4" s="1001"/>
      <c r="Q4" s="1002"/>
    </row>
    <row r="5" spans="1:17" ht="13.5" customHeight="1">
      <c r="A5" s="1003"/>
      <c r="B5" s="1004"/>
      <c r="C5" s="997"/>
      <c r="D5" s="997"/>
      <c r="F5" s="998"/>
      <c r="G5" s="998"/>
      <c r="H5" s="998"/>
      <c r="I5" s="999"/>
      <c r="J5" s="998"/>
      <c r="K5" s="1000"/>
      <c r="L5" s="1000"/>
      <c r="M5" s="1000"/>
      <c r="N5" s="1000"/>
      <c r="O5" s="1000"/>
      <c r="P5" s="1001"/>
      <c r="Q5" s="1005"/>
    </row>
    <row r="6" spans="1:17" s="1011" customFormat="1" ht="13.5" customHeight="1">
      <c r="A6" s="1006" t="s">
        <v>1403</v>
      </c>
      <c r="B6" s="1007"/>
      <c r="C6" s="1008" t="s">
        <v>1404</v>
      </c>
      <c r="D6" s="1009"/>
      <c r="E6" s="1010"/>
      <c r="F6" s="998"/>
      <c r="G6" s="998"/>
      <c r="H6" s="999"/>
      <c r="I6" s="999"/>
      <c r="J6" s="998"/>
      <c r="K6" s="1000"/>
      <c r="L6" s="1000"/>
      <c r="M6" s="1000"/>
      <c r="N6" s="1000"/>
      <c r="O6" s="1000"/>
      <c r="P6" s="1001"/>
      <c r="Q6" s="1002"/>
    </row>
    <row r="7" spans="1:17" s="1011" customFormat="1" ht="13.5" customHeight="1">
      <c r="A7" s="1012"/>
      <c r="B7" s="1013"/>
      <c r="C7" s="1009"/>
      <c r="D7" s="1009"/>
      <c r="E7" s="1010"/>
      <c r="F7" s="998"/>
      <c r="G7" s="998"/>
      <c r="H7" s="999"/>
      <c r="I7" s="999"/>
      <c r="J7" s="998"/>
      <c r="K7" s="1000"/>
      <c r="L7" s="1000"/>
      <c r="M7" s="1000"/>
      <c r="N7" s="1000"/>
      <c r="O7" s="1000"/>
      <c r="P7" s="1001"/>
      <c r="Q7" s="1002"/>
    </row>
    <row r="8" spans="1:17" s="1011" customFormat="1" ht="13.5" customHeight="1">
      <c r="A8" s="1014" t="s">
        <v>1405</v>
      </c>
      <c r="B8" s="1015" t="str">
        <f>IF(B4&gt;" ",VLOOKUP(B4,'Lookup and lists'!B29:C312,2, FALSE)," ")</f>
        <v>LIM LIMPOPO</v>
      </c>
      <c r="C8" s="1296"/>
      <c r="D8" s="1296"/>
      <c r="E8" s="1010"/>
      <c r="F8" s="998"/>
      <c r="G8" s="998"/>
      <c r="H8" s="999"/>
      <c r="I8" s="999"/>
      <c r="J8" s="998"/>
      <c r="K8" s="1000"/>
      <c r="L8" s="1000"/>
      <c r="M8" s="1000"/>
      <c r="N8" s="1000"/>
      <c r="O8" s="1000"/>
      <c r="P8" s="1001"/>
      <c r="Q8" s="1002"/>
    </row>
    <row r="9" spans="1:17" s="1011" customFormat="1" ht="13.5" customHeight="1">
      <c r="A9" s="1017"/>
      <c r="B9" s="1018"/>
      <c r="C9" s="1016"/>
      <c r="D9" s="1016"/>
      <c r="E9" s="1010"/>
      <c r="F9" s="998"/>
      <c r="G9" s="998"/>
      <c r="H9" s="999"/>
      <c r="I9" s="999"/>
      <c r="J9" s="998"/>
      <c r="K9" s="1000"/>
      <c r="L9" s="1000"/>
      <c r="M9" s="1000"/>
      <c r="N9" s="1000"/>
      <c r="O9" s="1000"/>
      <c r="P9" s="1001"/>
      <c r="Q9" s="1002"/>
    </row>
    <row r="10" spans="1:17" ht="13.5" customHeight="1">
      <c r="A10" s="1019" t="s">
        <v>1406</v>
      </c>
      <c r="B10" s="1133" t="s">
        <v>1736</v>
      </c>
      <c r="C10" s="1020"/>
      <c r="D10" s="1021"/>
      <c r="F10" s="999"/>
      <c r="G10" s="998"/>
      <c r="H10" s="999"/>
      <c r="I10" s="999"/>
      <c r="J10" s="998"/>
      <c r="K10" s="1000"/>
      <c r="L10" s="1000"/>
      <c r="M10" s="1000"/>
      <c r="N10" s="1000"/>
      <c r="O10" s="1000"/>
      <c r="P10" s="1001"/>
      <c r="Q10" s="1002"/>
    </row>
    <row r="11" spans="1:17" ht="13.5" customHeight="1">
      <c r="A11" s="1022"/>
      <c r="B11" s="1023"/>
      <c r="C11" s="1297"/>
      <c r="D11" s="1298"/>
      <c r="F11" s="999"/>
      <c r="G11" s="998"/>
      <c r="H11" s="999"/>
      <c r="I11" s="999"/>
      <c r="J11" s="998"/>
      <c r="K11" s="1000"/>
      <c r="L11" s="1000"/>
      <c r="M11" s="1000"/>
      <c r="N11" s="1000"/>
      <c r="O11" s="1000"/>
      <c r="P11" s="1001"/>
      <c r="Q11" s="1005"/>
    </row>
    <row r="12" spans="1:17" ht="13.5" customHeight="1">
      <c r="A12" s="1019" t="s">
        <v>1407</v>
      </c>
      <c r="B12" s="1134" t="s">
        <v>1632</v>
      </c>
      <c r="C12" s="1024"/>
      <c r="D12" s="1024"/>
      <c r="F12" s="999"/>
      <c r="G12" s="999"/>
      <c r="H12" s="999"/>
      <c r="I12" s="999"/>
      <c r="J12" s="998"/>
      <c r="K12" s="1000"/>
      <c r="L12" s="1000"/>
      <c r="M12" s="1000"/>
      <c r="N12" s="1000"/>
      <c r="O12" s="1000"/>
      <c r="P12" s="1001"/>
      <c r="Q12" s="1002"/>
    </row>
    <row r="13" spans="1:17" ht="13.5" customHeight="1">
      <c r="A13" s="1025"/>
      <c r="B13" s="1026"/>
      <c r="C13" s="1299"/>
      <c r="D13" s="1299"/>
      <c r="F13" s="999"/>
      <c r="G13" s="999"/>
      <c r="H13" s="999"/>
      <c r="I13" s="1027"/>
      <c r="J13" s="999"/>
      <c r="K13" s="1000"/>
      <c r="L13" s="1000"/>
      <c r="M13" s="1000"/>
      <c r="N13" s="1000"/>
      <c r="O13" s="1000"/>
      <c r="P13" s="1001"/>
    </row>
    <row r="14" spans="1:17" ht="13.5" customHeight="1" thickBot="1">
      <c r="A14" s="1300" t="s">
        <v>1408</v>
      </c>
      <c r="B14" s="1301"/>
      <c r="C14" s="1010"/>
      <c r="D14" s="1010"/>
      <c r="F14" s="999"/>
      <c r="G14" s="999"/>
      <c r="H14" s="1027"/>
      <c r="I14" s="1028"/>
      <c r="J14" s="999"/>
      <c r="K14" s="1000"/>
      <c r="L14" s="1000"/>
      <c r="M14" s="1000"/>
      <c r="N14" s="1000"/>
      <c r="O14" s="1000"/>
      <c r="P14" s="1001"/>
    </row>
    <row r="15" spans="1:17" ht="13.5" customHeight="1" thickTop="1">
      <c r="A15" s="1029" t="s">
        <v>1409</v>
      </c>
      <c r="B15" s="1030"/>
      <c r="F15" s="1027"/>
      <c r="G15" s="999"/>
      <c r="H15" s="1028"/>
      <c r="I15" s="1028"/>
      <c r="J15" s="999"/>
      <c r="K15" s="1000"/>
      <c r="L15" s="1000"/>
      <c r="M15" s="1000"/>
      <c r="N15" s="1000"/>
      <c r="O15" s="1000"/>
      <c r="P15" s="1001"/>
    </row>
    <row r="16" spans="1:17" s="1011" customFormat="1" ht="13.5" customHeight="1">
      <c r="A16" s="1031" t="s">
        <v>1410</v>
      </c>
      <c r="B16" s="1135">
        <v>24</v>
      </c>
      <c r="C16" s="988"/>
      <c r="D16" s="988"/>
      <c r="E16" s="1010"/>
      <c r="F16" s="1028"/>
      <c r="G16" s="1027"/>
      <c r="H16" s="1028"/>
      <c r="I16" s="1028"/>
      <c r="J16" s="999"/>
      <c r="K16" s="1000"/>
      <c r="L16" s="1000"/>
      <c r="M16" s="1000"/>
      <c r="N16" s="1000"/>
      <c r="O16" s="1000"/>
      <c r="P16" s="1001"/>
      <c r="Q16" s="254"/>
    </row>
    <row r="17" spans="1:16" ht="13.5" customHeight="1">
      <c r="A17" s="1031" t="s">
        <v>1411</v>
      </c>
      <c r="B17" s="1135" t="s">
        <v>1737</v>
      </c>
      <c r="F17" s="1028"/>
      <c r="G17" s="1028"/>
      <c r="H17" s="1028"/>
      <c r="I17" s="1028"/>
      <c r="J17" s="1027"/>
      <c r="K17" s="1000"/>
      <c r="L17" s="1000"/>
      <c r="M17" s="1000"/>
      <c r="N17" s="1000"/>
      <c r="O17" s="1000"/>
      <c r="P17" s="1001"/>
    </row>
    <row r="18" spans="1:16" ht="13.5" customHeight="1">
      <c r="A18" s="1033" t="s">
        <v>1412</v>
      </c>
      <c r="B18" s="1136">
        <v>850</v>
      </c>
      <c r="F18" s="1028"/>
      <c r="G18" s="1028"/>
      <c r="H18" s="1028"/>
      <c r="I18" s="1028"/>
      <c r="J18" s="1028"/>
      <c r="K18" s="1000"/>
      <c r="L18" s="1000"/>
      <c r="M18" s="1000"/>
      <c r="N18" s="1000"/>
      <c r="O18" s="1000"/>
      <c r="P18" s="1001"/>
    </row>
    <row r="19" spans="1:16" ht="13.5" customHeight="1">
      <c r="A19" s="1034"/>
      <c r="B19" s="1035"/>
      <c r="F19" s="1028"/>
      <c r="G19" s="1028"/>
      <c r="H19" s="1028"/>
      <c r="I19" s="1028"/>
      <c r="J19" s="1028"/>
      <c r="K19" s="1000"/>
      <c r="L19" s="1000"/>
      <c r="M19" s="1000"/>
      <c r="N19" s="1000"/>
      <c r="O19" s="1000"/>
      <c r="P19" s="1001"/>
    </row>
    <row r="20" spans="1:16" ht="13.5" customHeight="1">
      <c r="A20" s="1036" t="s">
        <v>1413</v>
      </c>
      <c r="B20" s="1037"/>
      <c r="F20" s="1028"/>
      <c r="G20" s="1028"/>
      <c r="H20" s="1028"/>
      <c r="I20" s="1028"/>
      <c r="J20" s="1028"/>
      <c r="K20" s="1000"/>
      <c r="L20" s="1000"/>
      <c r="M20" s="1000"/>
      <c r="N20" s="1000"/>
      <c r="O20" s="1000"/>
      <c r="P20" s="1001"/>
    </row>
    <row r="21" spans="1:16" ht="13.5" customHeight="1">
      <c r="A21" s="1031" t="s">
        <v>1414</v>
      </c>
      <c r="B21" s="1137" t="s">
        <v>1738</v>
      </c>
      <c r="F21" s="1028"/>
      <c r="G21" s="1028"/>
      <c r="H21" s="1028"/>
      <c r="I21" s="1028"/>
      <c r="J21" s="1028"/>
      <c r="K21" s="1000"/>
      <c r="L21" s="1000"/>
      <c r="M21" s="1000"/>
      <c r="N21" s="1000"/>
      <c r="O21" s="1000"/>
      <c r="P21" s="1001"/>
    </row>
    <row r="22" spans="1:16" ht="13.5" customHeight="1">
      <c r="A22" s="1031" t="s">
        <v>1415</v>
      </c>
      <c r="B22" s="1137" t="s">
        <v>1739</v>
      </c>
      <c r="F22" s="1028"/>
      <c r="G22" s="1028"/>
      <c r="H22" s="1028"/>
      <c r="I22" s="1028"/>
      <c r="J22" s="1028"/>
      <c r="K22" s="1000"/>
      <c r="L22" s="1000"/>
      <c r="M22" s="1000"/>
      <c r="N22" s="1000"/>
      <c r="O22" s="1000"/>
      <c r="P22" s="1001"/>
    </row>
    <row r="23" spans="1:16" ht="13.5" customHeight="1">
      <c r="A23" s="1031" t="s">
        <v>1411</v>
      </c>
      <c r="B23" s="1137" t="s">
        <v>1737</v>
      </c>
      <c r="F23" s="1028"/>
      <c r="G23" s="1028"/>
      <c r="H23" s="1028"/>
      <c r="I23" s="1028"/>
      <c r="J23" s="1028"/>
      <c r="K23" s="1000"/>
      <c r="L23" s="1000"/>
      <c r="M23" s="1000"/>
      <c r="N23" s="1000"/>
      <c r="O23" s="1000"/>
      <c r="P23" s="1001"/>
    </row>
    <row r="24" spans="1:16" ht="13.5" customHeight="1">
      <c r="A24" s="1033" t="s">
        <v>1412</v>
      </c>
      <c r="B24" s="1138">
        <v>850</v>
      </c>
      <c r="F24" s="1028"/>
      <c r="G24" s="1028"/>
      <c r="H24" s="1028"/>
      <c r="I24" s="1028"/>
      <c r="J24" s="1028"/>
      <c r="K24" s="1000"/>
      <c r="L24" s="1000"/>
      <c r="M24" s="1000"/>
      <c r="N24" s="1000"/>
      <c r="O24" s="1000"/>
      <c r="P24" s="1001"/>
    </row>
    <row r="25" spans="1:16" ht="13.5" customHeight="1">
      <c r="A25" s="1034"/>
      <c r="B25" s="1035"/>
      <c r="F25" s="1028"/>
      <c r="G25" s="1028"/>
      <c r="H25" s="1028"/>
      <c r="I25" s="1028"/>
      <c r="J25" s="1028"/>
      <c r="K25" s="1000"/>
      <c r="L25" s="1000"/>
      <c r="M25" s="1000"/>
      <c r="N25" s="1000"/>
      <c r="O25" s="1000"/>
      <c r="P25" s="1001"/>
    </row>
    <row r="26" spans="1:16" ht="13.5" customHeight="1">
      <c r="A26" s="1036" t="s">
        <v>1416</v>
      </c>
      <c r="B26" s="1038"/>
      <c r="F26" s="1028"/>
      <c r="G26" s="1028"/>
      <c r="H26" s="1028"/>
      <c r="I26" s="1028"/>
      <c r="J26" s="1028"/>
      <c r="K26" s="1000"/>
      <c r="L26" s="1000"/>
      <c r="M26" s="1000"/>
      <c r="N26" s="1000"/>
      <c r="O26" s="1000"/>
      <c r="P26" s="1001"/>
    </row>
    <row r="27" spans="1:16" ht="13.5" customHeight="1">
      <c r="A27" s="1031" t="s">
        <v>1417</v>
      </c>
      <c r="B27" s="1139" t="s">
        <v>1740</v>
      </c>
      <c r="F27" s="1028"/>
      <c r="G27" s="1028"/>
      <c r="H27" s="1028"/>
      <c r="I27" s="1028"/>
      <c r="J27" s="1028"/>
      <c r="K27" s="1000"/>
      <c r="L27" s="1000"/>
      <c r="M27" s="1000"/>
      <c r="N27" s="1000"/>
      <c r="O27" s="1000"/>
      <c r="P27" s="1001"/>
    </row>
    <row r="28" spans="1:16" ht="13.5" customHeight="1">
      <c r="A28" s="1033" t="s">
        <v>1418</v>
      </c>
      <c r="B28" s="1140" t="s">
        <v>1631</v>
      </c>
      <c r="J28" s="1028"/>
      <c r="K28" s="1028"/>
      <c r="L28" s="1028"/>
      <c r="M28" s="1028"/>
      <c r="N28" s="1028"/>
      <c r="O28" s="1028"/>
      <c r="P28" s="1001"/>
    </row>
    <row r="29" spans="1:16" ht="13.5" customHeight="1">
      <c r="A29" s="1034"/>
      <c r="B29" s="1040"/>
      <c r="P29" s="1001"/>
    </row>
    <row r="30" spans="1:16" ht="13.5" customHeight="1" thickBot="1">
      <c r="A30" s="1302" t="s">
        <v>1419</v>
      </c>
      <c r="B30" s="1303"/>
      <c r="C30" s="1304"/>
      <c r="D30" s="1305"/>
      <c r="P30" s="1001"/>
    </row>
    <row r="31" spans="1:16" ht="13.5" customHeight="1" thickTop="1">
      <c r="A31" s="1036" t="s">
        <v>1420</v>
      </c>
      <c r="B31" s="1037"/>
      <c r="C31" s="1306" t="s">
        <v>1421</v>
      </c>
      <c r="D31" s="1307"/>
      <c r="P31" s="1001"/>
    </row>
    <row r="32" spans="1:16" ht="13.5" customHeight="1">
      <c r="A32" s="1031" t="s">
        <v>1422</v>
      </c>
      <c r="B32" s="1141" t="s">
        <v>1741</v>
      </c>
      <c r="C32" s="1031" t="s">
        <v>1422</v>
      </c>
      <c r="D32" s="1041" t="s">
        <v>1991</v>
      </c>
      <c r="P32" s="1001"/>
    </row>
    <row r="33" spans="1:16" ht="13.5" customHeight="1">
      <c r="A33" s="1031" t="s">
        <v>1417</v>
      </c>
      <c r="B33" s="1141" t="s">
        <v>1742</v>
      </c>
      <c r="C33" s="1031" t="s">
        <v>1417</v>
      </c>
      <c r="D33" s="1041" t="s">
        <v>1992</v>
      </c>
      <c r="F33" s="998"/>
      <c r="G33" s="1000"/>
      <c r="P33" s="1001"/>
    </row>
    <row r="34" spans="1:16" ht="13.5" customHeight="1">
      <c r="A34" s="1031" t="s">
        <v>1423</v>
      </c>
      <c r="B34" s="1143" t="s">
        <v>1743</v>
      </c>
      <c r="C34" s="1031" t="s">
        <v>1423</v>
      </c>
      <c r="D34" s="1271" t="s">
        <v>1994</v>
      </c>
      <c r="F34" s="998"/>
      <c r="G34" s="1000"/>
      <c r="P34" s="1001"/>
    </row>
    <row r="35" spans="1:16" ht="13.5" customHeight="1">
      <c r="A35" s="1031" t="s">
        <v>1418</v>
      </c>
      <c r="B35" s="1141" t="s">
        <v>1631</v>
      </c>
      <c r="C35" s="1031" t="s">
        <v>1418</v>
      </c>
      <c r="D35" s="1271" t="s">
        <v>1995</v>
      </c>
      <c r="F35" s="999"/>
      <c r="G35" s="1000"/>
      <c r="P35" s="1001"/>
    </row>
    <row r="36" spans="1:16" ht="13.5" customHeight="1">
      <c r="A36" s="1031" t="s">
        <v>1424</v>
      </c>
      <c r="B36" s="1142" t="s">
        <v>1744</v>
      </c>
      <c r="C36" s="1031" t="s">
        <v>1424</v>
      </c>
      <c r="D36" s="1041" t="s">
        <v>1993</v>
      </c>
      <c r="F36" s="999"/>
      <c r="G36" s="1000"/>
      <c r="P36" s="1001"/>
    </row>
    <row r="37" spans="1:16" ht="13.5" customHeight="1">
      <c r="A37" s="1031"/>
      <c r="B37" s="1041"/>
      <c r="C37" s="1031"/>
      <c r="D37" s="1041"/>
      <c r="F37" s="999"/>
      <c r="G37" s="1000"/>
      <c r="P37" s="1001"/>
    </row>
    <row r="38" spans="1:16" ht="13.5" customHeight="1">
      <c r="A38" s="1308" t="s">
        <v>1425</v>
      </c>
      <c r="B38" s="1309"/>
      <c r="C38" s="1308" t="s">
        <v>1426</v>
      </c>
      <c r="D38" s="1309"/>
      <c r="F38" s="999"/>
      <c r="G38" s="1000"/>
      <c r="P38" s="1001"/>
    </row>
    <row r="39" spans="1:16" ht="13.5" customHeight="1">
      <c r="A39" s="1031" t="s">
        <v>1422</v>
      </c>
      <c r="B39" s="1144" t="s">
        <v>1745</v>
      </c>
      <c r="C39" s="1031" t="s">
        <v>1422</v>
      </c>
      <c r="D39" s="1159" t="s">
        <v>1765</v>
      </c>
      <c r="F39" s="999"/>
      <c r="G39" s="1000"/>
      <c r="P39" s="1001"/>
    </row>
    <row r="40" spans="1:16" ht="13.5" customHeight="1">
      <c r="A40" s="1031" t="s">
        <v>1417</v>
      </c>
      <c r="B40" s="1144" t="s">
        <v>1746</v>
      </c>
      <c r="C40" s="1031" t="s">
        <v>1417</v>
      </c>
      <c r="D40" s="1160" t="s">
        <v>1766</v>
      </c>
      <c r="F40" s="1027"/>
      <c r="G40" s="1000"/>
      <c r="P40" s="1001"/>
    </row>
    <row r="41" spans="1:16" ht="13.5" customHeight="1">
      <c r="A41" s="1031" t="s">
        <v>1423</v>
      </c>
      <c r="B41" s="1146" t="s">
        <v>1747</v>
      </c>
      <c r="C41" s="1031" t="s">
        <v>1423</v>
      </c>
      <c r="D41" s="1161" t="s">
        <v>1767</v>
      </c>
      <c r="F41" s="1028"/>
      <c r="G41" s="1000"/>
      <c r="P41" s="1001"/>
    </row>
    <row r="42" spans="1:16" ht="13.5" customHeight="1">
      <c r="A42" s="1031" t="s">
        <v>1418</v>
      </c>
      <c r="B42" s="1144" t="s">
        <v>1631</v>
      </c>
      <c r="C42" s="1031" t="s">
        <v>1418</v>
      </c>
      <c r="D42" s="1162" t="s">
        <v>1768</v>
      </c>
      <c r="F42" s="1028"/>
      <c r="G42" s="1000"/>
      <c r="P42" s="1001"/>
    </row>
    <row r="43" spans="1:16" ht="13.5" customHeight="1">
      <c r="A43" s="1042" t="s">
        <v>1424</v>
      </c>
      <c r="B43" s="1145" t="s">
        <v>1748</v>
      </c>
      <c r="C43" s="1042" t="s">
        <v>1424</v>
      </c>
      <c r="D43" s="1163" t="s">
        <v>1769</v>
      </c>
      <c r="F43" s="1028"/>
      <c r="G43" s="1000"/>
      <c r="P43" s="1001"/>
    </row>
    <row r="44" spans="1:16" ht="13.5" customHeight="1">
      <c r="A44" s="1034"/>
      <c r="B44" s="1040"/>
      <c r="C44" s="1034"/>
      <c r="D44" s="1040"/>
      <c r="F44" s="1028"/>
      <c r="G44" s="1000"/>
      <c r="P44" s="1001"/>
    </row>
    <row r="45" spans="1:16" ht="13.5" customHeight="1">
      <c r="A45" s="1308" t="s">
        <v>1427</v>
      </c>
      <c r="B45" s="1309"/>
      <c r="C45" s="1308" t="s">
        <v>1428</v>
      </c>
      <c r="D45" s="1309"/>
      <c r="F45" s="1028"/>
      <c r="G45" s="1000"/>
      <c r="P45" s="1001"/>
    </row>
    <row r="46" spans="1:16" ht="13.5" customHeight="1">
      <c r="A46" s="1031" t="s">
        <v>1422</v>
      </c>
      <c r="B46" s="1032"/>
      <c r="C46" s="1031" t="s">
        <v>1422</v>
      </c>
      <c r="D46" s="1032"/>
      <c r="F46" s="1028"/>
      <c r="G46" s="1000"/>
      <c r="P46" s="1001"/>
    </row>
    <row r="47" spans="1:16" s="254" customFormat="1" ht="13.5" customHeight="1">
      <c r="A47" s="1031" t="s">
        <v>1417</v>
      </c>
      <c r="B47" s="1032"/>
      <c r="C47" s="1031" t="s">
        <v>1417</v>
      </c>
      <c r="D47" s="1032"/>
      <c r="E47" s="988"/>
      <c r="F47" s="1028"/>
      <c r="G47" s="1000"/>
      <c r="P47" s="1001"/>
    </row>
    <row r="48" spans="1:16" s="254" customFormat="1" ht="13.5" customHeight="1">
      <c r="A48" s="1031" t="s">
        <v>1423</v>
      </c>
      <c r="B48" s="1032"/>
      <c r="C48" s="1031" t="s">
        <v>1423</v>
      </c>
      <c r="D48" s="1032"/>
      <c r="E48" s="988"/>
      <c r="F48" s="1028"/>
      <c r="G48" s="1000"/>
      <c r="P48" s="1001"/>
    </row>
    <row r="49" spans="1:17" s="254" customFormat="1" ht="13.5" customHeight="1">
      <c r="A49" s="1031" t="s">
        <v>1418</v>
      </c>
      <c r="B49" s="1032"/>
      <c r="C49" s="1031" t="s">
        <v>1418</v>
      </c>
      <c r="D49" s="1032"/>
      <c r="E49" s="988"/>
      <c r="F49" s="1028"/>
      <c r="G49" s="1000"/>
      <c r="P49" s="1001"/>
    </row>
    <row r="50" spans="1:17" s="254" customFormat="1" ht="13.5" customHeight="1">
      <c r="A50" s="1033" t="s">
        <v>1424</v>
      </c>
      <c r="B50" s="1039"/>
      <c r="C50" s="1033" t="s">
        <v>1424</v>
      </c>
      <c r="D50" s="1039"/>
      <c r="E50" s="988"/>
      <c r="F50" s="1028"/>
      <c r="G50" s="1000"/>
      <c r="P50" s="1001"/>
    </row>
    <row r="51" spans="1:17" s="254" customFormat="1" ht="13.5" customHeight="1">
      <c r="A51" s="1034"/>
      <c r="B51" s="1040"/>
      <c r="C51" s="1034"/>
      <c r="D51" s="1040"/>
      <c r="E51" s="988"/>
      <c r="F51" s="1028"/>
      <c r="G51" s="1000"/>
      <c r="P51" s="1001"/>
    </row>
    <row r="52" spans="1:17" s="254" customFormat="1" ht="13.5" customHeight="1" thickBot="1">
      <c r="A52" s="1310" t="s">
        <v>1429</v>
      </c>
      <c r="B52" s="1311"/>
      <c r="C52" s="1312"/>
      <c r="D52" s="1313"/>
      <c r="E52" s="988"/>
      <c r="F52" s="1028"/>
      <c r="G52" s="1000"/>
      <c r="P52" s="1001"/>
    </row>
    <row r="53" spans="1:17" s="1045" customFormat="1" ht="13.5" customHeight="1" thickTop="1">
      <c r="A53" s="1036" t="s">
        <v>1430</v>
      </c>
      <c r="B53" s="1037"/>
      <c r="C53" s="1308" t="s">
        <v>1431</v>
      </c>
      <c r="D53" s="1309"/>
      <c r="E53" s="990"/>
      <c r="F53" s="1043"/>
      <c r="G53" s="1044"/>
      <c r="P53" s="1001"/>
      <c r="Q53" s="254"/>
    </row>
    <row r="54" spans="1:17" s="1045" customFormat="1" ht="13.5" customHeight="1">
      <c r="A54" s="1031" t="s">
        <v>1422</v>
      </c>
      <c r="B54" s="1147" t="s">
        <v>1749</v>
      </c>
      <c r="C54" s="1031" t="s">
        <v>1422</v>
      </c>
      <c r="D54" s="1164" t="s">
        <v>1770</v>
      </c>
      <c r="E54" s="990"/>
      <c r="F54" s="1043"/>
      <c r="G54" s="1044"/>
      <c r="P54" s="1001"/>
      <c r="Q54" s="254"/>
    </row>
    <row r="55" spans="1:17" s="254" customFormat="1" ht="13.5" customHeight="1">
      <c r="A55" s="1031" t="s">
        <v>1417</v>
      </c>
      <c r="B55" s="1148" t="s">
        <v>1750</v>
      </c>
      <c r="C55" s="1031" t="s">
        <v>1417</v>
      </c>
      <c r="D55" s="1164" t="s">
        <v>1750</v>
      </c>
      <c r="E55" s="988"/>
      <c r="F55" s="1028"/>
      <c r="G55" s="1000"/>
      <c r="P55" s="1001"/>
    </row>
    <row r="56" spans="1:17" s="254" customFormat="1" ht="13.5" customHeight="1">
      <c r="A56" s="1031" t="s">
        <v>1423</v>
      </c>
      <c r="B56" s="1147" t="s">
        <v>1751</v>
      </c>
      <c r="C56" s="1031" t="s">
        <v>1423</v>
      </c>
      <c r="D56" s="1164" t="s">
        <v>1771</v>
      </c>
      <c r="E56" s="988"/>
      <c r="F56" s="1028"/>
      <c r="G56" s="1000"/>
      <c r="P56" s="1001"/>
    </row>
    <row r="57" spans="1:17" s="254" customFormat="1" ht="13.5" customHeight="1">
      <c r="A57" s="1031" t="s">
        <v>1418</v>
      </c>
      <c r="B57" s="1147" t="s">
        <v>1631</v>
      </c>
      <c r="C57" s="1031" t="s">
        <v>1418</v>
      </c>
      <c r="D57" s="1164" t="s">
        <v>1631</v>
      </c>
      <c r="E57" s="988"/>
      <c r="F57" s="1028"/>
      <c r="G57" s="1000"/>
      <c r="P57" s="1001"/>
    </row>
    <row r="58" spans="1:17" ht="13.5" customHeight="1">
      <c r="A58" s="1033" t="s">
        <v>1424</v>
      </c>
      <c r="B58" s="1149" t="s">
        <v>1752</v>
      </c>
      <c r="C58" s="1033" t="s">
        <v>1424</v>
      </c>
      <c r="D58" s="1165" t="s">
        <v>1772</v>
      </c>
      <c r="F58" s="1028"/>
      <c r="G58" s="1000"/>
      <c r="P58" s="1001"/>
    </row>
    <row r="59" spans="1:17" ht="13.5" customHeight="1">
      <c r="A59" s="1034"/>
      <c r="B59" s="1040"/>
      <c r="C59" s="1034"/>
      <c r="D59" s="1040"/>
      <c r="F59" s="1028"/>
      <c r="G59" s="1000"/>
      <c r="P59" s="1001"/>
    </row>
    <row r="60" spans="1:17" ht="13.5" customHeight="1">
      <c r="A60" s="1046" t="s">
        <v>1432</v>
      </c>
      <c r="B60" s="1038"/>
      <c r="C60" s="1308" t="s">
        <v>1433</v>
      </c>
      <c r="D60" s="1309"/>
      <c r="F60" s="1028"/>
      <c r="G60" s="1000"/>
      <c r="P60" s="1001"/>
    </row>
    <row r="61" spans="1:17" s="1047" customFormat="1" ht="13.5" customHeight="1">
      <c r="A61" s="1031" t="s">
        <v>1422</v>
      </c>
      <c r="B61" s="1150" t="s">
        <v>1629</v>
      </c>
      <c r="C61" s="1031" t="s">
        <v>1422</v>
      </c>
      <c r="D61" s="1166" t="s">
        <v>1773</v>
      </c>
      <c r="E61" s="990"/>
      <c r="F61" s="1043"/>
      <c r="G61" s="1044"/>
      <c r="H61" s="1045"/>
      <c r="I61" s="1045"/>
      <c r="J61" s="1045"/>
      <c r="K61" s="1045"/>
      <c r="L61" s="1045"/>
      <c r="M61" s="1045"/>
      <c r="N61" s="1045"/>
      <c r="O61" s="1045"/>
      <c r="P61" s="1001"/>
      <c r="Q61" s="254"/>
    </row>
    <row r="62" spans="1:17" ht="13.5" customHeight="1">
      <c r="A62" s="1031" t="s">
        <v>1417</v>
      </c>
      <c r="B62" s="1150" t="s">
        <v>1630</v>
      </c>
      <c r="C62" s="1031" t="s">
        <v>1417</v>
      </c>
      <c r="D62" s="1166" t="s">
        <v>1774</v>
      </c>
      <c r="F62" s="1028"/>
      <c r="G62" s="1000"/>
      <c r="P62" s="1001"/>
    </row>
    <row r="63" spans="1:17" ht="13.5" customHeight="1">
      <c r="A63" s="1031" t="s">
        <v>1423</v>
      </c>
      <c r="B63" s="1152" t="s">
        <v>1753</v>
      </c>
      <c r="C63" s="1031" t="s">
        <v>1423</v>
      </c>
      <c r="D63" s="1168" t="s">
        <v>1775</v>
      </c>
      <c r="F63" s="1028"/>
      <c r="G63" s="1000"/>
      <c r="P63" s="1001"/>
    </row>
    <row r="64" spans="1:17" ht="13.5" customHeight="1">
      <c r="A64" s="1031" t="s">
        <v>1418</v>
      </c>
      <c r="B64" s="1150" t="s">
        <v>1631</v>
      </c>
      <c r="C64" s="1031" t="s">
        <v>1418</v>
      </c>
      <c r="D64" s="1166" t="s">
        <v>1631</v>
      </c>
      <c r="F64" s="1028"/>
      <c r="G64" s="1000"/>
      <c r="P64" s="1001"/>
    </row>
    <row r="65" spans="1:17" ht="13.5" customHeight="1">
      <c r="A65" s="1033" t="s">
        <v>1424</v>
      </c>
      <c r="B65" s="1151" t="s">
        <v>1632</v>
      </c>
      <c r="C65" s="1033" t="s">
        <v>1424</v>
      </c>
      <c r="D65" s="1167" t="s">
        <v>1776</v>
      </c>
      <c r="F65" s="1028"/>
      <c r="G65" s="1000"/>
      <c r="P65" s="1001"/>
    </row>
    <row r="66" spans="1:17" ht="13.5" customHeight="1">
      <c r="A66" s="1034"/>
      <c r="B66" s="1040"/>
      <c r="C66" s="1034"/>
      <c r="D66" s="1040"/>
      <c r="F66" s="1028"/>
      <c r="G66" s="1000"/>
      <c r="P66" s="1001"/>
    </row>
    <row r="67" spans="1:17" ht="13.5" customHeight="1">
      <c r="A67" s="1308" t="s">
        <v>1434</v>
      </c>
      <c r="B67" s="1309"/>
      <c r="C67" s="1316"/>
      <c r="D67" s="1317"/>
      <c r="F67" s="1028"/>
      <c r="G67" s="1000"/>
      <c r="P67" s="1001"/>
    </row>
    <row r="68" spans="1:17" s="1047" customFormat="1" ht="13.5" customHeight="1">
      <c r="A68" s="1031" t="s">
        <v>1422</v>
      </c>
      <c r="B68" s="1153" t="s">
        <v>1754</v>
      </c>
      <c r="C68" s="1048"/>
      <c r="D68" s="1049"/>
      <c r="E68" s="990"/>
      <c r="F68" s="1043"/>
      <c r="G68" s="1044"/>
      <c r="H68" s="1045"/>
      <c r="I68" s="1045"/>
      <c r="J68" s="1045"/>
      <c r="K68" s="1045"/>
      <c r="L68" s="1045"/>
      <c r="M68" s="1045"/>
      <c r="N68" s="1045"/>
      <c r="O68" s="1045"/>
      <c r="P68" s="1001"/>
      <c r="Q68" s="254"/>
    </row>
    <row r="69" spans="1:17" ht="13.5" customHeight="1">
      <c r="A69" s="1031" t="s">
        <v>1417</v>
      </c>
      <c r="B69" s="1153" t="s">
        <v>1755</v>
      </c>
      <c r="C69" s="1048"/>
      <c r="D69" s="1049"/>
      <c r="F69" s="1028"/>
      <c r="G69" s="1000"/>
      <c r="P69" s="1001"/>
    </row>
    <row r="70" spans="1:17" ht="13.5" customHeight="1">
      <c r="A70" s="1031" t="s">
        <v>1423</v>
      </c>
      <c r="B70" s="1153" t="s">
        <v>1756</v>
      </c>
      <c r="C70" s="1048"/>
      <c r="D70" s="1049"/>
      <c r="F70" s="1028"/>
      <c r="G70" s="1000"/>
      <c r="P70" s="1001"/>
    </row>
    <row r="71" spans="1:17" ht="13.5" customHeight="1">
      <c r="A71" s="1031" t="s">
        <v>1418</v>
      </c>
      <c r="B71" s="1153" t="s">
        <v>1631</v>
      </c>
      <c r="C71" s="1048"/>
      <c r="D71" s="1049"/>
      <c r="F71" s="1028"/>
      <c r="G71" s="1000"/>
      <c r="P71" s="1001"/>
    </row>
    <row r="72" spans="1:17" ht="13.5" customHeight="1">
      <c r="A72" s="1031" t="s">
        <v>1424</v>
      </c>
      <c r="B72" s="1153" t="s">
        <v>1757</v>
      </c>
      <c r="C72" s="1048"/>
      <c r="D72" s="1049"/>
      <c r="F72" s="1028"/>
      <c r="G72" s="1000"/>
      <c r="P72" s="1001"/>
    </row>
    <row r="73" spans="1:17" ht="13.5" customHeight="1">
      <c r="A73" s="1308" t="s">
        <v>1434</v>
      </c>
      <c r="B73" s="1309"/>
      <c r="C73" s="1314"/>
      <c r="D73" s="1315"/>
      <c r="F73" s="1028"/>
      <c r="G73" s="1000"/>
      <c r="P73" s="1001"/>
    </row>
    <row r="74" spans="1:17" ht="13.5" customHeight="1">
      <c r="A74" s="1031" t="s">
        <v>1422</v>
      </c>
      <c r="B74" s="1154" t="s">
        <v>1758</v>
      </c>
      <c r="C74" s="1048"/>
      <c r="D74" s="1049"/>
      <c r="F74" s="1028"/>
      <c r="G74" s="1000"/>
      <c r="P74" s="1001"/>
    </row>
    <row r="75" spans="1:17" ht="13.5" customHeight="1">
      <c r="A75" s="1031" t="s">
        <v>1417</v>
      </c>
      <c r="B75" s="1154" t="s">
        <v>1759</v>
      </c>
      <c r="C75" s="1048"/>
      <c r="D75" s="1049"/>
      <c r="F75" s="1028"/>
      <c r="G75" s="1000"/>
      <c r="P75" s="1001"/>
    </row>
    <row r="76" spans="1:17" s="254" customFormat="1" ht="13.5" customHeight="1">
      <c r="A76" s="1031" t="s">
        <v>1423</v>
      </c>
      <c r="B76" s="1154" t="s">
        <v>1760</v>
      </c>
      <c r="C76" s="1048"/>
      <c r="D76" s="1049"/>
      <c r="E76" s="988"/>
      <c r="F76" s="1028"/>
      <c r="G76" s="1000"/>
      <c r="P76" s="1001"/>
    </row>
    <row r="77" spans="1:17" s="254" customFormat="1" ht="13.5" customHeight="1">
      <c r="A77" s="1031" t="s">
        <v>1418</v>
      </c>
      <c r="B77" s="1154" t="s">
        <v>1631</v>
      </c>
      <c r="C77" s="1048"/>
      <c r="D77" s="1049"/>
      <c r="E77" s="988"/>
      <c r="F77" s="1028"/>
      <c r="G77" s="1000"/>
      <c r="P77" s="1001"/>
    </row>
    <row r="78" spans="1:17" s="254" customFormat="1" ht="13.5" customHeight="1">
      <c r="A78" s="1031" t="s">
        <v>1424</v>
      </c>
      <c r="B78" s="1155" t="s">
        <v>1761</v>
      </c>
      <c r="C78" s="1048"/>
      <c r="D78" s="1049"/>
      <c r="E78" s="988"/>
      <c r="F78" s="1028"/>
      <c r="G78" s="1000"/>
      <c r="P78" s="1001"/>
    </row>
    <row r="79" spans="1:17" s="254" customFormat="1" ht="13.5" customHeight="1">
      <c r="A79" s="1308" t="s">
        <v>1434</v>
      </c>
      <c r="B79" s="1309"/>
      <c r="C79" s="1314"/>
      <c r="D79" s="1315"/>
      <c r="E79" s="988"/>
      <c r="F79" s="1028"/>
      <c r="G79" s="1000"/>
      <c r="P79" s="1001"/>
    </row>
    <row r="80" spans="1:17" s="254" customFormat="1" ht="13.5" customHeight="1">
      <c r="A80" s="1031" t="s">
        <v>1422</v>
      </c>
      <c r="B80" s="1156" t="s">
        <v>1762</v>
      </c>
      <c r="C80" s="1048"/>
      <c r="D80" s="1049"/>
      <c r="E80" s="988"/>
      <c r="F80" s="1028"/>
      <c r="G80" s="1000"/>
      <c r="P80" s="1001"/>
    </row>
    <row r="81" spans="1:25" s="254" customFormat="1" ht="13.5" customHeight="1">
      <c r="A81" s="1031" t="s">
        <v>1417</v>
      </c>
      <c r="B81" s="1156" t="s">
        <v>1759</v>
      </c>
      <c r="C81" s="1048"/>
      <c r="D81" s="1049"/>
      <c r="E81" s="988"/>
      <c r="F81" s="1028"/>
      <c r="G81" s="1000"/>
      <c r="P81" s="1001"/>
    </row>
    <row r="82" spans="1:25" s="254" customFormat="1" ht="13.5" customHeight="1">
      <c r="A82" s="1031" t="s">
        <v>1423</v>
      </c>
      <c r="B82" s="1157" t="s">
        <v>1763</v>
      </c>
      <c r="C82" s="1048"/>
      <c r="D82" s="1049"/>
      <c r="E82" s="988"/>
      <c r="F82" s="1028"/>
      <c r="G82" s="1000"/>
      <c r="P82" s="1001"/>
    </row>
    <row r="83" spans="1:25" s="254" customFormat="1" ht="13.5" customHeight="1">
      <c r="A83" s="1031" t="s">
        <v>1418</v>
      </c>
      <c r="B83" s="1156" t="s">
        <v>1631</v>
      </c>
      <c r="C83" s="1048"/>
      <c r="D83" s="1049"/>
      <c r="E83" s="988"/>
      <c r="F83" s="1028"/>
      <c r="G83" s="1000"/>
      <c r="P83" s="1001"/>
    </row>
    <row r="84" spans="1:25" s="254" customFormat="1" ht="13.5" customHeight="1">
      <c r="A84" s="1031" t="s">
        <v>1424</v>
      </c>
      <c r="B84" s="1158" t="s">
        <v>1764</v>
      </c>
      <c r="C84" s="1034"/>
      <c r="D84" s="1040"/>
      <c r="E84" s="988"/>
      <c r="F84" s="1028"/>
      <c r="G84" s="1000"/>
      <c r="P84" s="1001"/>
    </row>
    <row r="85" spans="1:25" s="254" customFormat="1" ht="12.75" customHeight="1">
      <c r="C85" s="988"/>
      <c r="D85" s="988"/>
      <c r="E85" s="988"/>
      <c r="F85" s="1028"/>
      <c r="G85" s="1000"/>
      <c r="P85" s="1001"/>
    </row>
    <row r="86" spans="1:25" s="254" customFormat="1" ht="12.75" customHeight="1">
      <c r="E86" s="988"/>
      <c r="F86" s="1028"/>
      <c r="G86" s="1000"/>
      <c r="P86" s="1001"/>
    </row>
    <row r="87" spans="1:25" s="254" customFormat="1" ht="12.75" customHeight="1">
      <c r="A87" s="1008"/>
      <c r="B87" s="286"/>
      <c r="C87" s="286"/>
      <c r="D87" s="286"/>
      <c r="E87" s="988"/>
      <c r="F87" s="1028"/>
      <c r="G87" s="1000"/>
      <c r="P87" s="1001"/>
    </row>
    <row r="88" spans="1:25" s="254" customFormat="1" ht="12.75" customHeight="1">
      <c r="E88" s="988"/>
      <c r="F88" s="1028"/>
      <c r="G88" s="1000"/>
      <c r="P88" s="1001"/>
    </row>
    <row r="89" spans="1:25" s="286" customFormat="1" ht="12.75" customHeight="1">
      <c r="A89" s="988"/>
      <c r="B89" s="988"/>
      <c r="C89" s="988"/>
      <c r="D89" s="988"/>
      <c r="E89" s="1050"/>
      <c r="F89" s="1028"/>
      <c r="G89" s="1000"/>
      <c r="I89" s="254"/>
      <c r="J89" s="254"/>
      <c r="K89" s="254"/>
      <c r="L89" s="254"/>
      <c r="M89" s="254"/>
      <c r="N89" s="254"/>
      <c r="O89" s="254"/>
      <c r="P89" s="1001"/>
      <c r="Q89" s="254"/>
    </row>
    <row r="90" spans="1:25" s="254" customFormat="1" ht="12.75" customHeight="1">
      <c r="A90" s="988"/>
      <c r="B90" s="988"/>
      <c r="C90" s="988"/>
      <c r="D90" s="988"/>
      <c r="E90" s="988"/>
      <c r="F90" s="1028"/>
      <c r="G90" s="1000"/>
      <c r="P90" s="1001"/>
    </row>
    <row r="91" spans="1:25" s="254" customFormat="1" ht="12.75" customHeight="1">
      <c r="A91" s="988"/>
      <c r="B91" s="988"/>
      <c r="C91" s="988"/>
      <c r="D91" s="988"/>
      <c r="E91" s="988"/>
      <c r="F91" s="1028"/>
      <c r="G91" s="1000"/>
      <c r="P91" s="1001"/>
    </row>
    <row r="92" spans="1:25" s="254" customFormat="1" ht="12.75" customHeight="1">
      <c r="A92" s="1051"/>
      <c r="B92" s="988"/>
      <c r="C92" s="988"/>
      <c r="D92" s="988"/>
      <c r="E92" s="988"/>
      <c r="P92" s="1001"/>
    </row>
    <row r="93" spans="1:25" s="254" customFormat="1" ht="12.75" customHeight="1">
      <c r="A93" s="1052"/>
      <c r="B93" s="988"/>
      <c r="C93" s="988"/>
      <c r="D93" s="988"/>
      <c r="E93" s="988"/>
      <c r="P93" s="1001"/>
    </row>
    <row r="94" spans="1:25" s="254" customFormat="1" ht="12.75" customHeight="1">
      <c r="A94" s="1052"/>
      <c r="B94" s="988"/>
      <c r="C94" s="988"/>
      <c r="D94" s="988"/>
      <c r="E94" s="988"/>
      <c r="P94" s="1001"/>
    </row>
    <row r="95" spans="1:25" s="254" customFormat="1" ht="12.75" customHeight="1">
      <c r="A95" s="1052"/>
      <c r="B95" s="988"/>
      <c r="C95" s="988"/>
      <c r="D95" s="988"/>
      <c r="E95" s="988"/>
      <c r="P95" s="1001"/>
    </row>
    <row r="96" spans="1:25" ht="12.75" customHeight="1">
      <c r="A96" s="1052"/>
      <c r="E96" s="1053"/>
      <c r="P96" s="1001"/>
      <c r="R96" s="1054"/>
      <c r="S96" s="1054"/>
      <c r="T96" s="1054"/>
      <c r="U96" s="1054"/>
      <c r="V96" s="1054"/>
      <c r="W96" s="1054"/>
      <c r="X96" s="1054"/>
      <c r="Y96" s="1054"/>
    </row>
    <row r="97" spans="1:25" ht="12.75" customHeight="1">
      <c r="A97" s="1055"/>
      <c r="B97" s="1053"/>
      <c r="C97" s="1053"/>
      <c r="D97" s="1053"/>
      <c r="E97" s="1053"/>
      <c r="P97" s="1001"/>
      <c r="R97" s="1054"/>
      <c r="S97" s="1054"/>
      <c r="T97" s="1054"/>
      <c r="U97" s="1054"/>
      <c r="V97" s="1054"/>
      <c r="W97" s="1054"/>
      <c r="X97" s="1054"/>
      <c r="Y97" s="1054"/>
    </row>
    <row r="98" spans="1:25" ht="12.75" customHeight="1">
      <c r="A98" s="1055"/>
      <c r="B98" s="1053"/>
      <c r="C98" s="1053"/>
      <c r="D98" s="1053"/>
      <c r="E98" s="1053"/>
      <c r="P98" s="1001"/>
      <c r="R98" s="1054"/>
      <c r="S98" s="1054"/>
      <c r="T98" s="1054"/>
      <c r="U98" s="1054"/>
      <c r="V98" s="1054"/>
      <c r="W98" s="1054"/>
      <c r="X98" s="1054"/>
      <c r="Y98" s="1054"/>
    </row>
    <row r="99" spans="1:25" ht="12.75" customHeight="1">
      <c r="A99" s="1055"/>
      <c r="B99" s="1053"/>
      <c r="C99" s="1053"/>
      <c r="D99" s="1053"/>
      <c r="E99" s="1053"/>
      <c r="P99" s="1001"/>
      <c r="R99" s="1054"/>
      <c r="S99" s="1054"/>
      <c r="T99" s="1054"/>
      <c r="U99" s="1054"/>
      <c r="V99" s="1054"/>
      <c r="W99" s="1054"/>
      <c r="X99" s="1054"/>
      <c r="Y99" s="1054"/>
    </row>
    <row r="100" spans="1:25" ht="12.75" customHeight="1">
      <c r="A100" s="1055"/>
      <c r="B100" s="1053"/>
      <c r="C100" s="1053"/>
      <c r="D100" s="1053"/>
      <c r="E100" s="1053"/>
      <c r="P100" s="1001"/>
      <c r="R100" s="1054"/>
      <c r="S100" s="1054"/>
      <c r="T100" s="1054"/>
      <c r="U100" s="1054"/>
      <c r="V100" s="1054"/>
      <c r="W100" s="1054"/>
      <c r="X100" s="1054"/>
      <c r="Y100" s="1054"/>
    </row>
    <row r="101" spans="1:25" ht="12.75" customHeight="1">
      <c r="A101" s="1055"/>
      <c r="B101" s="1053"/>
      <c r="C101" s="1053"/>
      <c r="D101" s="1053"/>
      <c r="E101" s="1053"/>
      <c r="P101" s="1001"/>
      <c r="R101" s="1054"/>
      <c r="S101" s="1054"/>
      <c r="T101" s="1054"/>
      <c r="U101" s="1054"/>
      <c r="V101" s="1054"/>
      <c r="W101" s="1054"/>
      <c r="X101" s="1054"/>
      <c r="Y101" s="1054"/>
    </row>
    <row r="102" spans="1:25" ht="12.75" customHeight="1">
      <c r="A102" s="1055"/>
      <c r="B102" s="1053"/>
      <c r="C102" s="1053"/>
      <c r="D102" s="1053"/>
      <c r="E102" s="1053"/>
      <c r="P102" s="1001"/>
      <c r="R102" s="1054"/>
      <c r="S102" s="1054"/>
      <c r="T102" s="1054"/>
      <c r="U102" s="1054"/>
      <c r="V102" s="1054"/>
      <c r="W102" s="1054"/>
      <c r="X102" s="1054"/>
      <c r="Y102" s="1054"/>
    </row>
    <row r="103" spans="1:25" ht="12.75" customHeight="1">
      <c r="A103" s="1055"/>
      <c r="B103" s="1053"/>
      <c r="C103" s="1053"/>
      <c r="D103" s="1053"/>
      <c r="E103" s="1053"/>
      <c r="P103" s="1001"/>
      <c r="R103" s="1054"/>
      <c r="S103" s="1054"/>
      <c r="T103" s="1054"/>
      <c r="U103" s="1054"/>
      <c r="V103" s="1054"/>
      <c r="W103" s="1054"/>
      <c r="X103" s="1054"/>
      <c r="Y103" s="1054"/>
    </row>
    <row r="104" spans="1:25" ht="12.75" customHeight="1">
      <c r="A104" s="1055"/>
      <c r="B104" s="1053"/>
      <c r="C104" s="1053"/>
      <c r="D104" s="1053"/>
      <c r="E104" s="1053"/>
      <c r="P104" s="1001"/>
      <c r="R104" s="1054"/>
      <c r="S104" s="1054"/>
      <c r="T104" s="1054"/>
      <c r="U104" s="1054"/>
      <c r="V104" s="1054"/>
      <c r="W104" s="1054"/>
      <c r="X104" s="1054"/>
      <c r="Y104" s="1054"/>
    </row>
    <row r="105" spans="1:25" ht="12.75" customHeight="1">
      <c r="A105" s="1055"/>
      <c r="B105" s="1053"/>
      <c r="C105" s="1053"/>
      <c r="D105" s="1053"/>
      <c r="E105" s="1053"/>
      <c r="P105" s="1001"/>
      <c r="R105" s="1054"/>
      <c r="S105" s="1054"/>
      <c r="T105" s="1054"/>
      <c r="U105" s="1054"/>
      <c r="V105" s="1054"/>
      <c r="W105" s="1054"/>
      <c r="X105" s="1054"/>
      <c r="Y105" s="1054"/>
    </row>
    <row r="106" spans="1:25" ht="12.75" customHeight="1">
      <c r="A106" s="1055"/>
      <c r="B106" s="1053"/>
      <c r="C106" s="1053"/>
      <c r="D106" s="1053"/>
      <c r="E106" s="1053"/>
      <c r="P106" s="1001"/>
      <c r="R106" s="1054"/>
      <c r="S106" s="1054"/>
      <c r="T106" s="1054"/>
      <c r="U106" s="1054"/>
      <c r="V106" s="1054"/>
      <c r="W106" s="1054"/>
      <c r="X106" s="1054"/>
      <c r="Y106" s="1054"/>
    </row>
    <row r="107" spans="1:25" ht="12.75" customHeight="1">
      <c r="A107" s="1055"/>
      <c r="B107" s="1053"/>
      <c r="C107" s="1053"/>
      <c r="D107" s="1053"/>
      <c r="E107" s="1053"/>
      <c r="P107" s="1001"/>
      <c r="R107" s="1054"/>
      <c r="S107" s="1054"/>
      <c r="T107" s="1054"/>
      <c r="U107" s="1054"/>
      <c r="V107" s="1054"/>
      <c r="W107" s="1054"/>
      <c r="X107" s="1054"/>
      <c r="Y107" s="1054"/>
    </row>
    <row r="108" spans="1:25" ht="12.75" customHeight="1">
      <c r="A108" s="1055"/>
      <c r="B108" s="1053"/>
      <c r="C108" s="1053"/>
      <c r="D108" s="1053"/>
      <c r="E108" s="1053"/>
      <c r="P108" s="1001"/>
      <c r="R108" s="1054"/>
      <c r="S108" s="1054"/>
      <c r="T108" s="1054"/>
      <c r="U108" s="1054"/>
      <c r="V108" s="1054"/>
      <c r="W108" s="1054"/>
      <c r="X108" s="1054"/>
      <c r="Y108" s="1054"/>
    </row>
    <row r="109" spans="1:25" ht="12.75" customHeight="1">
      <c r="A109" s="1055"/>
      <c r="B109" s="1053"/>
      <c r="C109" s="1053"/>
      <c r="D109" s="1053"/>
      <c r="E109" s="1053"/>
      <c r="P109" s="1001"/>
      <c r="R109" s="1054"/>
      <c r="S109" s="1054"/>
      <c r="T109" s="1054"/>
      <c r="U109" s="1054"/>
      <c r="V109" s="1054"/>
      <c r="W109" s="1054"/>
      <c r="X109" s="1054"/>
      <c r="Y109" s="1054"/>
    </row>
    <row r="110" spans="1:25" ht="12.75" customHeight="1">
      <c r="A110" s="1055"/>
      <c r="B110" s="1053"/>
      <c r="C110" s="1053"/>
      <c r="D110" s="1053"/>
      <c r="E110" s="1053"/>
      <c r="P110" s="1001"/>
      <c r="R110" s="1054"/>
      <c r="S110" s="1054"/>
      <c r="T110" s="1054"/>
      <c r="U110" s="1054"/>
      <c r="V110" s="1054"/>
      <c r="W110" s="1054"/>
      <c r="X110" s="1054"/>
      <c r="Y110" s="1054"/>
    </row>
    <row r="111" spans="1:25" ht="12.75" customHeight="1">
      <c r="A111" s="1055"/>
      <c r="B111" s="1053"/>
      <c r="C111" s="1053"/>
      <c r="D111" s="1053"/>
      <c r="E111" s="1053"/>
      <c r="P111" s="1001"/>
      <c r="R111" s="1054"/>
      <c r="S111" s="1054"/>
      <c r="T111" s="1054"/>
      <c r="U111" s="1054"/>
      <c r="V111" s="1054"/>
      <c r="W111" s="1054"/>
      <c r="X111" s="1054"/>
      <c r="Y111" s="1054"/>
    </row>
    <row r="112" spans="1:25" ht="12.75" customHeight="1">
      <c r="A112" s="1055"/>
      <c r="B112" s="1053"/>
      <c r="C112" s="1053"/>
      <c r="D112" s="1053"/>
      <c r="E112" s="1053"/>
      <c r="P112" s="1001"/>
      <c r="R112" s="1054"/>
      <c r="S112" s="1054"/>
      <c r="T112" s="1054"/>
      <c r="U112" s="1054"/>
      <c r="V112" s="1054"/>
      <c r="W112" s="1054"/>
      <c r="X112" s="1054"/>
      <c r="Y112" s="1054"/>
    </row>
    <row r="113" spans="1:25" ht="12.75" customHeight="1">
      <c r="A113" s="1055"/>
      <c r="B113" s="1053"/>
      <c r="C113" s="1053"/>
      <c r="D113" s="1053"/>
      <c r="E113" s="1053"/>
      <c r="P113" s="1001"/>
      <c r="R113" s="1054"/>
      <c r="S113" s="1054"/>
      <c r="T113" s="1054"/>
      <c r="U113" s="1054"/>
      <c r="V113" s="1054"/>
      <c r="W113" s="1054"/>
      <c r="X113" s="1054"/>
      <c r="Y113" s="1054"/>
    </row>
    <row r="114" spans="1:25" ht="12.75" customHeight="1">
      <c r="A114" s="1055"/>
      <c r="B114" s="1053"/>
      <c r="C114" s="1053"/>
      <c r="D114" s="1053"/>
      <c r="E114" s="1053"/>
      <c r="P114" s="1001"/>
      <c r="R114" s="1054"/>
      <c r="S114" s="1054"/>
      <c r="T114" s="1054"/>
      <c r="U114" s="1054"/>
      <c r="V114" s="1054"/>
      <c r="W114" s="1054"/>
      <c r="X114" s="1054"/>
      <c r="Y114" s="1054"/>
    </row>
    <row r="115" spans="1:25" ht="12.75" customHeight="1">
      <c r="A115" s="1055"/>
      <c r="B115" s="1053"/>
      <c r="C115" s="1053"/>
      <c r="D115" s="1053"/>
      <c r="E115" s="1053"/>
      <c r="P115" s="1001"/>
      <c r="R115" s="1054"/>
      <c r="S115" s="1054"/>
      <c r="T115" s="1054"/>
      <c r="U115" s="1054"/>
      <c r="V115" s="1054"/>
      <c r="W115" s="1054"/>
      <c r="X115" s="1054"/>
      <c r="Y115" s="1054"/>
    </row>
    <row r="116" spans="1:25" ht="12.75" customHeight="1">
      <c r="A116" s="1055"/>
      <c r="B116" s="1053"/>
      <c r="C116" s="1053"/>
      <c r="D116" s="1053"/>
      <c r="E116" s="1053"/>
      <c r="P116" s="1001"/>
      <c r="R116" s="1054"/>
      <c r="S116" s="1054"/>
      <c r="T116" s="1054"/>
      <c r="U116" s="1054"/>
      <c r="V116" s="1054"/>
      <c r="W116" s="1054"/>
      <c r="X116" s="1054"/>
      <c r="Y116" s="1054"/>
    </row>
    <row r="117" spans="1:25" ht="12.75" customHeight="1">
      <c r="A117" s="1055"/>
      <c r="B117" s="1053"/>
      <c r="C117" s="1053"/>
      <c r="D117" s="1053"/>
      <c r="E117" s="1053"/>
      <c r="P117" s="1001"/>
      <c r="R117" s="1054"/>
      <c r="S117" s="1054"/>
      <c r="T117" s="1054"/>
      <c r="U117" s="1054"/>
      <c r="V117" s="1054"/>
      <c r="W117" s="1054"/>
      <c r="X117" s="1054"/>
      <c r="Y117" s="1054"/>
    </row>
    <row r="118" spans="1:25" ht="12.75" customHeight="1">
      <c r="A118" s="1055"/>
      <c r="B118" s="1053"/>
      <c r="C118" s="1053"/>
      <c r="D118" s="1053"/>
      <c r="E118" s="1053"/>
      <c r="P118" s="1001"/>
      <c r="R118" s="1054"/>
      <c r="S118" s="1054"/>
      <c r="T118" s="1054"/>
      <c r="U118" s="1054"/>
      <c r="V118" s="1054"/>
      <c r="W118" s="1054"/>
      <c r="X118" s="1054"/>
      <c r="Y118" s="1054"/>
    </row>
    <row r="119" spans="1:25" ht="12.75" customHeight="1">
      <c r="A119" s="1053"/>
      <c r="B119" s="1053"/>
      <c r="C119" s="1053"/>
      <c r="D119" s="1053"/>
      <c r="E119" s="1053"/>
      <c r="P119" s="1001"/>
      <c r="R119" s="1054"/>
      <c r="S119" s="1054"/>
      <c r="T119" s="1054"/>
      <c r="U119" s="1054"/>
      <c r="V119" s="1054"/>
      <c r="W119" s="1054"/>
      <c r="X119" s="1054"/>
      <c r="Y119" s="1054"/>
    </row>
    <row r="120" spans="1:25" ht="12.75" customHeight="1">
      <c r="A120" s="1053"/>
      <c r="B120" s="1053"/>
      <c r="C120" s="1053"/>
      <c r="D120" s="1053"/>
      <c r="E120" s="1053"/>
      <c r="P120" s="1001"/>
      <c r="R120" s="1054"/>
      <c r="S120" s="1054"/>
      <c r="T120" s="1054"/>
      <c r="U120" s="1054"/>
      <c r="V120" s="1054"/>
      <c r="W120" s="1054"/>
      <c r="X120" s="1054"/>
      <c r="Y120" s="1054"/>
    </row>
    <row r="121" spans="1:25" ht="12.75" customHeight="1">
      <c r="A121" s="1053"/>
      <c r="B121" s="1053"/>
      <c r="C121" s="1053"/>
      <c r="D121" s="1053"/>
      <c r="E121" s="1053"/>
      <c r="P121" s="1001"/>
      <c r="R121" s="1054"/>
      <c r="S121" s="1054"/>
      <c r="T121" s="1054"/>
      <c r="U121" s="1054"/>
      <c r="V121" s="1054"/>
      <c r="W121" s="1054"/>
      <c r="X121" s="1054"/>
      <c r="Y121" s="1054"/>
    </row>
    <row r="122" spans="1:25" ht="12.75" customHeight="1">
      <c r="A122" s="1053"/>
      <c r="B122" s="1053"/>
      <c r="C122" s="1053"/>
      <c r="D122" s="1053"/>
      <c r="E122" s="1053"/>
      <c r="P122" s="1001"/>
      <c r="R122" s="1054"/>
      <c r="S122" s="1054"/>
      <c r="T122" s="1054"/>
      <c r="U122" s="1054"/>
      <c r="V122" s="1054"/>
      <c r="W122" s="1054"/>
      <c r="X122" s="1054"/>
      <c r="Y122" s="1054"/>
    </row>
    <row r="123" spans="1:25" ht="12.75" customHeight="1">
      <c r="A123" s="1053"/>
      <c r="B123" s="1053"/>
      <c r="C123" s="1053"/>
      <c r="D123" s="1053"/>
      <c r="E123" s="1053"/>
      <c r="P123" s="1001"/>
      <c r="R123" s="1054"/>
      <c r="S123" s="1054"/>
      <c r="T123" s="1054"/>
      <c r="U123" s="1054"/>
      <c r="V123" s="1054"/>
      <c r="W123" s="1054"/>
      <c r="X123" s="1054"/>
      <c r="Y123" s="1054"/>
    </row>
    <row r="124" spans="1:25" ht="12.75" customHeight="1">
      <c r="A124" s="1053"/>
      <c r="B124" s="1053"/>
      <c r="C124" s="1053"/>
      <c r="D124" s="1053"/>
      <c r="E124" s="1053"/>
      <c r="P124" s="1001"/>
      <c r="R124" s="1054"/>
      <c r="S124" s="1054"/>
      <c r="T124" s="1054"/>
      <c r="U124" s="1054"/>
      <c r="V124" s="1054"/>
      <c r="W124" s="1054"/>
      <c r="X124" s="1054"/>
      <c r="Y124" s="1054"/>
    </row>
    <row r="125" spans="1:25" ht="12.75" customHeight="1">
      <c r="A125" s="1053"/>
      <c r="B125" s="1053"/>
      <c r="C125" s="1053"/>
      <c r="D125" s="1053"/>
      <c r="E125" s="1053"/>
      <c r="P125" s="1001"/>
      <c r="R125" s="1054"/>
      <c r="S125" s="1054"/>
      <c r="T125" s="1054"/>
      <c r="U125" s="1054"/>
      <c r="V125" s="1054"/>
      <c r="W125" s="1054"/>
      <c r="X125" s="1054"/>
      <c r="Y125" s="1054"/>
    </row>
    <row r="126" spans="1:25" ht="12.75" customHeight="1">
      <c r="A126" s="1053"/>
      <c r="B126" s="1053"/>
      <c r="C126" s="1053"/>
      <c r="D126" s="1053"/>
      <c r="E126" s="1053"/>
      <c r="P126" s="1001"/>
      <c r="R126" s="1054"/>
      <c r="S126" s="1054"/>
      <c r="T126" s="1054"/>
      <c r="U126" s="1054"/>
      <c r="V126" s="1054"/>
      <c r="W126" s="1054"/>
      <c r="X126" s="1054"/>
      <c r="Y126" s="1054"/>
    </row>
    <row r="127" spans="1:25" ht="12.75" customHeight="1">
      <c r="A127" s="1053"/>
      <c r="B127" s="1053"/>
      <c r="C127" s="1053"/>
      <c r="D127" s="1053"/>
      <c r="E127" s="1053"/>
      <c r="P127" s="1001"/>
      <c r="R127" s="1054"/>
      <c r="S127" s="1054"/>
      <c r="T127" s="1054"/>
      <c r="U127" s="1054"/>
      <c r="V127" s="1054"/>
      <c r="W127" s="1054"/>
      <c r="X127" s="1054"/>
      <c r="Y127" s="1054"/>
    </row>
    <row r="128" spans="1:25">
      <c r="A128" s="1053"/>
      <c r="B128" s="1053"/>
      <c r="C128" s="1053"/>
      <c r="D128" s="1053"/>
      <c r="E128" s="1053"/>
      <c r="P128" s="1001"/>
      <c r="R128" s="1054"/>
      <c r="S128" s="1054"/>
      <c r="T128" s="1054"/>
      <c r="U128" s="1054"/>
      <c r="V128" s="1054"/>
      <c r="W128" s="1054"/>
      <c r="X128" s="1054"/>
      <c r="Y128" s="1054"/>
    </row>
    <row r="129" spans="1:25">
      <c r="A129" s="1053"/>
      <c r="B129" s="1053"/>
      <c r="C129" s="1053"/>
      <c r="D129" s="1053"/>
      <c r="E129" s="1053"/>
      <c r="P129" s="1001"/>
      <c r="R129" s="1054"/>
      <c r="S129" s="1054"/>
      <c r="T129" s="1054"/>
      <c r="U129" s="1054"/>
      <c r="V129" s="1054"/>
      <c r="W129" s="1054"/>
      <c r="X129" s="1054"/>
      <c r="Y129" s="1054"/>
    </row>
    <row r="130" spans="1:25">
      <c r="A130" s="1053"/>
      <c r="B130" s="1053"/>
      <c r="C130" s="1053"/>
      <c r="D130" s="1053"/>
      <c r="E130" s="1053"/>
      <c r="P130" s="1001"/>
      <c r="R130" s="1054"/>
      <c r="S130" s="1054"/>
      <c r="T130" s="1054"/>
      <c r="U130" s="1054"/>
      <c r="V130" s="1054"/>
      <c r="W130" s="1054"/>
      <c r="X130" s="1054"/>
      <c r="Y130" s="1054"/>
    </row>
    <row r="131" spans="1:25">
      <c r="A131" s="1053"/>
      <c r="B131" s="1053"/>
      <c r="C131" s="1053"/>
      <c r="D131" s="1053"/>
      <c r="E131" s="1053"/>
      <c r="P131" s="1001"/>
      <c r="R131" s="1054"/>
      <c r="S131" s="1054"/>
      <c r="T131" s="1054"/>
      <c r="U131" s="1054"/>
      <c r="V131" s="1054"/>
      <c r="W131" s="1054"/>
      <c r="X131" s="1054"/>
      <c r="Y131" s="1054"/>
    </row>
    <row r="132" spans="1:25">
      <c r="A132" s="1053"/>
      <c r="B132" s="1053"/>
      <c r="C132" s="1053"/>
      <c r="D132" s="1053"/>
      <c r="E132" s="1053"/>
      <c r="P132" s="1001"/>
      <c r="R132" s="1054"/>
      <c r="S132" s="1054"/>
      <c r="T132" s="1054"/>
      <c r="U132" s="1054"/>
      <c r="V132" s="1054"/>
      <c r="W132" s="1054"/>
      <c r="X132" s="1054"/>
      <c r="Y132" s="1054"/>
    </row>
    <row r="133" spans="1:25">
      <c r="A133" s="1053"/>
      <c r="B133" s="1053"/>
      <c r="C133" s="1053"/>
      <c r="D133" s="1053"/>
      <c r="E133" s="1053"/>
      <c r="P133" s="1001"/>
      <c r="R133" s="1054"/>
      <c r="S133" s="1054"/>
      <c r="T133" s="1054"/>
      <c r="U133" s="1054"/>
      <c r="V133" s="1054"/>
      <c r="W133" s="1054"/>
      <c r="X133" s="1054"/>
      <c r="Y133" s="1054"/>
    </row>
    <row r="134" spans="1:25">
      <c r="A134" s="1053"/>
      <c r="B134" s="1053"/>
      <c r="C134" s="1053"/>
      <c r="D134" s="1053"/>
      <c r="E134" s="1053"/>
      <c r="P134" s="1001"/>
      <c r="R134" s="1054"/>
      <c r="S134" s="1054"/>
      <c r="T134" s="1054"/>
      <c r="U134" s="1054"/>
      <c r="V134" s="1054"/>
      <c r="W134" s="1054"/>
      <c r="X134" s="1054"/>
      <c r="Y134" s="1054"/>
    </row>
    <row r="135" spans="1:25">
      <c r="A135" s="1053"/>
      <c r="B135" s="1053"/>
      <c r="C135" s="1053"/>
      <c r="D135" s="1053"/>
      <c r="E135" s="1053"/>
      <c r="P135" s="1001"/>
      <c r="R135" s="1054"/>
      <c r="S135" s="1054"/>
      <c r="T135" s="1054"/>
      <c r="U135" s="1054"/>
      <c r="V135" s="1054"/>
      <c r="W135" s="1054"/>
      <c r="X135" s="1054"/>
      <c r="Y135" s="1054"/>
    </row>
    <row r="136" spans="1:25">
      <c r="A136" s="1053"/>
      <c r="B136" s="1053"/>
      <c r="C136" s="1053"/>
      <c r="D136" s="1053"/>
      <c r="E136" s="1053"/>
      <c r="P136" s="1001"/>
      <c r="R136" s="1054"/>
      <c r="S136" s="1054"/>
      <c r="T136" s="1054"/>
      <c r="U136" s="1054"/>
      <c r="V136" s="1054"/>
      <c r="W136" s="1054"/>
      <c r="X136" s="1054"/>
      <c r="Y136" s="1054"/>
    </row>
    <row r="137" spans="1:25">
      <c r="A137" s="1053"/>
      <c r="B137" s="1053"/>
      <c r="C137" s="1053"/>
      <c r="D137" s="1053"/>
      <c r="E137" s="1053"/>
      <c r="P137" s="1001"/>
      <c r="R137" s="1054"/>
      <c r="S137" s="1054"/>
      <c r="T137" s="1054"/>
      <c r="U137" s="1054"/>
      <c r="V137" s="1054"/>
      <c r="W137" s="1054"/>
      <c r="X137" s="1054"/>
      <c r="Y137" s="1054"/>
    </row>
    <row r="138" spans="1:25">
      <c r="A138" s="1053"/>
      <c r="B138" s="1053"/>
      <c r="C138" s="1053"/>
      <c r="D138" s="1053"/>
      <c r="E138" s="1053"/>
      <c r="P138" s="1001"/>
      <c r="R138" s="1054"/>
      <c r="S138" s="1054"/>
      <c r="T138" s="1054"/>
      <c r="U138" s="1054"/>
      <c r="V138" s="1054"/>
      <c r="W138" s="1054"/>
      <c r="X138" s="1054"/>
      <c r="Y138" s="1054"/>
    </row>
    <row r="139" spans="1:25">
      <c r="A139" s="1053"/>
      <c r="B139" s="1053"/>
      <c r="C139" s="1053"/>
      <c r="D139" s="1053"/>
      <c r="E139" s="1053"/>
      <c r="P139" s="1001"/>
      <c r="R139" s="1054"/>
      <c r="S139" s="1054"/>
      <c r="T139" s="1054"/>
      <c r="U139" s="1054"/>
      <c r="V139" s="1054"/>
      <c r="W139" s="1054"/>
      <c r="X139" s="1054"/>
      <c r="Y139" s="1054"/>
    </row>
    <row r="140" spans="1:25">
      <c r="A140" s="1053"/>
      <c r="B140" s="1053"/>
      <c r="C140" s="1053"/>
      <c r="D140" s="1053"/>
      <c r="E140" s="1053"/>
      <c r="P140" s="1001"/>
      <c r="R140" s="1054"/>
      <c r="S140" s="1054"/>
      <c r="T140" s="1054"/>
      <c r="U140" s="1054"/>
      <c r="V140" s="1054"/>
      <c r="W140" s="1054"/>
      <c r="X140" s="1054"/>
      <c r="Y140" s="1054"/>
    </row>
    <row r="141" spans="1:25">
      <c r="A141" s="1053"/>
      <c r="B141" s="1053"/>
      <c r="C141" s="1053"/>
      <c r="D141" s="1053"/>
      <c r="E141" s="1053"/>
      <c r="P141" s="1001"/>
      <c r="R141" s="1054"/>
      <c r="S141" s="1054"/>
      <c r="T141" s="1054"/>
      <c r="U141" s="1054"/>
      <c r="V141" s="1054"/>
      <c r="W141" s="1054"/>
      <c r="X141" s="1054"/>
      <c r="Y141" s="1054"/>
    </row>
    <row r="142" spans="1:25">
      <c r="A142" s="1053"/>
      <c r="B142" s="1053"/>
      <c r="C142" s="1053"/>
      <c r="D142" s="1053"/>
      <c r="E142" s="1053"/>
      <c r="P142" s="1001"/>
      <c r="R142" s="1054"/>
      <c r="S142" s="1054"/>
      <c r="T142" s="1054"/>
      <c r="U142" s="1054"/>
      <c r="V142" s="1054"/>
      <c r="W142" s="1054"/>
      <c r="X142" s="1054"/>
      <c r="Y142" s="1054"/>
    </row>
    <row r="143" spans="1:25">
      <c r="A143" s="1053"/>
      <c r="B143" s="1053"/>
      <c r="C143" s="1053"/>
      <c r="D143" s="1053"/>
      <c r="E143" s="1053"/>
      <c r="P143" s="1001"/>
      <c r="R143" s="1054"/>
      <c r="S143" s="1054"/>
      <c r="T143" s="1054"/>
      <c r="U143" s="1054"/>
      <c r="V143" s="1054"/>
      <c r="W143" s="1054"/>
      <c r="X143" s="1054"/>
      <c r="Y143" s="1054"/>
    </row>
    <row r="144" spans="1:25">
      <c r="A144" s="1053"/>
      <c r="B144" s="1053"/>
      <c r="C144" s="1053"/>
      <c r="D144" s="1053"/>
      <c r="E144" s="1053"/>
      <c r="P144" s="1001"/>
      <c r="R144" s="1054"/>
      <c r="S144" s="1054"/>
      <c r="T144" s="1054"/>
      <c r="U144" s="1054"/>
      <c r="V144" s="1054"/>
      <c r="W144" s="1054"/>
      <c r="X144" s="1054"/>
      <c r="Y144" s="1054"/>
    </row>
    <row r="145" spans="1:25">
      <c r="A145" s="1053"/>
      <c r="B145" s="1053"/>
      <c r="C145" s="1053"/>
      <c r="D145" s="1053"/>
      <c r="E145" s="1053"/>
      <c r="P145" s="1001"/>
      <c r="R145" s="1054"/>
      <c r="S145" s="1054"/>
      <c r="T145" s="1054"/>
      <c r="U145" s="1054"/>
      <c r="V145" s="1054"/>
      <c r="W145" s="1054"/>
      <c r="X145" s="1054"/>
      <c r="Y145" s="1054"/>
    </row>
    <row r="146" spans="1:25">
      <c r="A146" s="1053"/>
      <c r="B146" s="1053"/>
      <c r="C146" s="1053"/>
      <c r="D146" s="1053"/>
      <c r="E146" s="1053"/>
      <c r="P146" s="1001"/>
      <c r="R146" s="1054"/>
      <c r="S146" s="1054"/>
      <c r="T146" s="1054"/>
      <c r="U146" s="1054"/>
      <c r="V146" s="1054"/>
      <c r="W146" s="1054"/>
      <c r="X146" s="1054"/>
      <c r="Y146" s="1054"/>
    </row>
    <row r="147" spans="1:25">
      <c r="A147" s="1053"/>
      <c r="B147" s="1053"/>
      <c r="C147" s="1053"/>
      <c r="D147" s="1053"/>
      <c r="E147" s="1053"/>
      <c r="P147" s="1001"/>
      <c r="R147" s="1054"/>
      <c r="S147" s="1054"/>
      <c r="T147" s="1054"/>
      <c r="U147" s="1054"/>
      <c r="V147" s="1054"/>
      <c r="W147" s="1054"/>
      <c r="X147" s="1054"/>
      <c r="Y147" s="1054"/>
    </row>
    <row r="148" spans="1:25">
      <c r="A148" s="1053"/>
      <c r="B148" s="1053"/>
      <c r="C148" s="1053"/>
      <c r="D148" s="1053"/>
      <c r="E148" s="1053"/>
      <c r="P148" s="1001"/>
      <c r="R148" s="1054"/>
      <c r="S148" s="1054"/>
      <c r="T148" s="1054"/>
      <c r="U148" s="1054"/>
      <c r="V148" s="1054"/>
      <c r="W148" s="1054"/>
      <c r="X148" s="1054"/>
      <c r="Y148" s="1054"/>
    </row>
    <row r="149" spans="1:25">
      <c r="A149" s="1053"/>
      <c r="B149" s="1053"/>
      <c r="C149" s="1053"/>
      <c r="D149" s="1053"/>
      <c r="E149" s="1053"/>
      <c r="P149" s="1001"/>
      <c r="R149" s="1054"/>
      <c r="S149" s="1054"/>
      <c r="T149" s="1054"/>
      <c r="U149" s="1054"/>
      <c r="V149" s="1054"/>
      <c r="W149" s="1054"/>
      <c r="X149" s="1054"/>
      <c r="Y149" s="1054"/>
    </row>
    <row r="150" spans="1:25">
      <c r="A150" s="1053"/>
      <c r="B150" s="1053"/>
      <c r="C150" s="1053"/>
      <c r="D150" s="1053"/>
      <c r="E150" s="1053"/>
      <c r="P150" s="1001"/>
      <c r="R150" s="1054"/>
      <c r="S150" s="1054"/>
      <c r="T150" s="1054"/>
      <c r="U150" s="1054"/>
      <c r="V150" s="1054"/>
      <c r="W150" s="1054"/>
      <c r="X150" s="1054"/>
      <c r="Y150" s="1054"/>
    </row>
    <row r="151" spans="1:25">
      <c r="A151" s="1053"/>
      <c r="B151" s="1053"/>
      <c r="C151" s="1053"/>
      <c r="D151" s="1053"/>
      <c r="E151" s="1053"/>
      <c r="P151" s="1001"/>
      <c r="R151" s="1054"/>
      <c r="S151" s="1054"/>
      <c r="T151" s="1054"/>
      <c r="U151" s="1054"/>
      <c r="V151" s="1054"/>
      <c r="W151" s="1054"/>
      <c r="X151" s="1054"/>
      <c r="Y151" s="1054"/>
    </row>
    <row r="152" spans="1:25">
      <c r="A152" s="1053"/>
      <c r="B152" s="1053"/>
      <c r="C152" s="1053"/>
      <c r="D152" s="1053"/>
      <c r="E152" s="1053"/>
      <c r="P152" s="1001"/>
      <c r="R152" s="1054"/>
      <c r="S152" s="1054"/>
      <c r="T152" s="1054"/>
      <c r="U152" s="1054"/>
      <c r="V152" s="1054"/>
      <c r="W152" s="1054"/>
      <c r="X152" s="1054"/>
      <c r="Y152" s="1054"/>
    </row>
    <row r="153" spans="1:25">
      <c r="A153" s="1053"/>
      <c r="B153" s="1053"/>
      <c r="C153" s="1053"/>
      <c r="D153" s="1053"/>
      <c r="E153" s="1053"/>
      <c r="P153" s="1001"/>
      <c r="R153" s="1054"/>
      <c r="S153" s="1054"/>
      <c r="T153" s="1054"/>
      <c r="U153" s="1054"/>
      <c r="V153" s="1054"/>
      <c r="W153" s="1054"/>
      <c r="X153" s="1054"/>
      <c r="Y153" s="1054"/>
    </row>
    <row r="154" spans="1:25">
      <c r="A154" s="1053"/>
      <c r="B154" s="1053"/>
      <c r="C154" s="1053"/>
      <c r="D154" s="1053"/>
      <c r="E154" s="1053"/>
      <c r="P154" s="1001"/>
      <c r="R154" s="1054"/>
      <c r="S154" s="1054"/>
      <c r="T154" s="1054"/>
      <c r="U154" s="1054"/>
      <c r="V154" s="1054"/>
      <c r="W154" s="1054"/>
      <c r="X154" s="1054"/>
      <c r="Y154" s="1054"/>
    </row>
    <row r="155" spans="1:25">
      <c r="A155" s="1053"/>
      <c r="B155" s="1053"/>
      <c r="C155" s="1053"/>
      <c r="D155" s="1053"/>
      <c r="E155" s="1053"/>
      <c r="P155" s="1001"/>
      <c r="R155" s="1054"/>
      <c r="S155" s="1054"/>
      <c r="T155" s="1054"/>
      <c r="U155" s="1054"/>
      <c r="V155" s="1054"/>
      <c r="W155" s="1054"/>
      <c r="X155" s="1054"/>
      <c r="Y155" s="1054"/>
    </row>
    <row r="156" spans="1:25">
      <c r="A156" s="1053"/>
      <c r="B156" s="1053"/>
      <c r="C156" s="1053"/>
      <c r="D156" s="1053"/>
      <c r="E156" s="1053"/>
      <c r="P156" s="1001"/>
      <c r="R156" s="1054"/>
      <c r="S156" s="1054"/>
      <c r="T156" s="1054"/>
      <c r="U156" s="1054"/>
      <c r="V156" s="1054"/>
      <c r="W156" s="1054"/>
      <c r="X156" s="1054"/>
      <c r="Y156" s="1054"/>
    </row>
    <row r="157" spans="1:25">
      <c r="A157" s="1053"/>
      <c r="B157" s="1053"/>
      <c r="C157" s="1053"/>
      <c r="D157" s="1053"/>
      <c r="E157" s="1053"/>
      <c r="P157" s="1001"/>
      <c r="R157" s="1054"/>
      <c r="S157" s="1054"/>
      <c r="T157" s="1054"/>
      <c r="U157" s="1054"/>
      <c r="V157" s="1054"/>
      <c r="W157" s="1054"/>
      <c r="X157" s="1054"/>
      <c r="Y157" s="1054"/>
    </row>
    <row r="158" spans="1:25">
      <c r="A158" s="1053"/>
      <c r="B158" s="1053"/>
      <c r="C158" s="1053"/>
      <c r="D158" s="1053"/>
      <c r="E158" s="1053"/>
      <c r="P158" s="1001"/>
      <c r="R158" s="1054"/>
      <c r="S158" s="1054"/>
      <c r="T158" s="1054"/>
      <c r="U158" s="1054"/>
      <c r="V158" s="1054"/>
      <c r="W158" s="1054"/>
      <c r="X158" s="1054"/>
      <c r="Y158" s="1054"/>
    </row>
    <row r="159" spans="1:25">
      <c r="A159" s="1053"/>
      <c r="B159" s="1053"/>
      <c r="C159" s="1053"/>
      <c r="D159" s="1053"/>
      <c r="E159" s="1053"/>
      <c r="P159" s="1001"/>
      <c r="R159" s="1054"/>
      <c r="S159" s="1054"/>
      <c r="T159" s="1054"/>
      <c r="U159" s="1054"/>
      <c r="V159" s="1054"/>
      <c r="W159" s="1054"/>
      <c r="X159" s="1054"/>
      <c r="Y159" s="1054"/>
    </row>
    <row r="160" spans="1:25">
      <c r="A160" s="1053"/>
      <c r="B160" s="1053"/>
      <c r="C160" s="1053"/>
      <c r="D160" s="1053"/>
      <c r="E160" s="1053"/>
      <c r="P160" s="1001"/>
      <c r="R160" s="1054"/>
      <c r="S160" s="1054"/>
      <c r="T160" s="1054"/>
      <c r="U160" s="1054"/>
      <c r="V160" s="1054"/>
      <c r="W160" s="1054"/>
      <c r="X160" s="1054"/>
      <c r="Y160" s="1054"/>
    </row>
    <row r="161" spans="1:25">
      <c r="A161" s="1053"/>
      <c r="B161" s="1053"/>
      <c r="C161" s="1053"/>
      <c r="D161" s="1053"/>
      <c r="E161" s="1053"/>
      <c r="P161" s="1001"/>
      <c r="R161" s="1054"/>
      <c r="S161" s="1054"/>
      <c r="T161" s="1054"/>
      <c r="U161" s="1054"/>
      <c r="V161" s="1054"/>
      <c r="W161" s="1054"/>
      <c r="X161" s="1054"/>
      <c r="Y161" s="1054"/>
    </row>
    <row r="162" spans="1:25">
      <c r="A162" s="1053"/>
      <c r="B162" s="1053"/>
      <c r="C162" s="1053"/>
      <c r="D162" s="1053"/>
      <c r="E162" s="1053"/>
      <c r="P162" s="1001"/>
      <c r="R162" s="1054"/>
      <c r="S162" s="1054"/>
      <c r="T162" s="1054"/>
      <c r="U162" s="1054"/>
      <c r="V162" s="1054"/>
      <c r="W162" s="1054"/>
      <c r="X162" s="1054"/>
      <c r="Y162" s="1054"/>
    </row>
    <row r="163" spans="1:25">
      <c r="A163" s="1053"/>
      <c r="B163" s="1053"/>
      <c r="C163" s="1053"/>
      <c r="D163" s="1053"/>
      <c r="E163" s="1053"/>
      <c r="P163" s="1001"/>
      <c r="R163" s="1054"/>
      <c r="S163" s="1054"/>
      <c r="T163" s="1054"/>
      <c r="U163" s="1054"/>
      <c r="V163" s="1054"/>
      <c r="W163" s="1054"/>
      <c r="X163" s="1054"/>
      <c r="Y163" s="1054"/>
    </row>
    <row r="164" spans="1:25">
      <c r="A164" s="1053"/>
      <c r="B164" s="1053"/>
      <c r="C164" s="1053"/>
      <c r="D164" s="1053"/>
      <c r="E164" s="1053"/>
      <c r="P164" s="1001"/>
      <c r="R164" s="1054"/>
      <c r="S164" s="1054"/>
      <c r="T164" s="1054"/>
      <c r="U164" s="1054"/>
      <c r="V164" s="1054"/>
      <c r="W164" s="1054"/>
      <c r="X164" s="1054"/>
      <c r="Y164" s="1054"/>
    </row>
    <row r="165" spans="1:25">
      <c r="A165" s="1053"/>
      <c r="B165" s="1053"/>
      <c r="C165" s="1053"/>
      <c r="D165" s="1053"/>
      <c r="E165" s="1053"/>
      <c r="P165" s="1001"/>
      <c r="R165" s="1054"/>
      <c r="S165" s="1054"/>
      <c r="T165" s="1054"/>
      <c r="U165" s="1054"/>
      <c r="V165" s="1054"/>
      <c r="W165" s="1054"/>
      <c r="X165" s="1054"/>
      <c r="Y165" s="1054"/>
    </row>
    <row r="166" spans="1:25">
      <c r="A166" s="1053"/>
      <c r="B166" s="1053"/>
      <c r="C166" s="1053"/>
      <c r="D166" s="1053"/>
      <c r="E166" s="1053"/>
      <c r="P166" s="1001"/>
      <c r="R166" s="1054"/>
      <c r="S166" s="1054"/>
      <c r="T166" s="1054"/>
      <c r="U166" s="1054"/>
      <c r="V166" s="1054"/>
      <c r="W166" s="1054"/>
      <c r="X166" s="1054"/>
      <c r="Y166" s="1054"/>
    </row>
    <row r="167" spans="1:25">
      <c r="A167" s="1053"/>
      <c r="B167" s="1053"/>
      <c r="C167" s="1053"/>
      <c r="D167" s="1053"/>
      <c r="E167" s="1053"/>
      <c r="P167" s="1001"/>
      <c r="R167" s="1054"/>
      <c r="S167" s="1054"/>
      <c r="T167" s="1054"/>
      <c r="U167" s="1054"/>
      <c r="V167" s="1054"/>
      <c r="W167" s="1054"/>
      <c r="X167" s="1054"/>
      <c r="Y167" s="1054"/>
    </row>
    <row r="168" spans="1:25">
      <c r="A168" s="1053"/>
      <c r="B168" s="1053"/>
      <c r="C168" s="1053"/>
      <c r="D168" s="1053"/>
      <c r="E168" s="1053"/>
      <c r="P168" s="1001"/>
      <c r="R168" s="1054"/>
      <c r="S168" s="1054"/>
      <c r="T168" s="1054"/>
      <c r="U168" s="1054"/>
      <c r="V168" s="1054"/>
      <c r="W168" s="1054"/>
      <c r="X168" s="1054"/>
      <c r="Y168" s="1054"/>
    </row>
    <row r="169" spans="1:25">
      <c r="A169" s="1053"/>
      <c r="B169" s="1053"/>
      <c r="C169" s="1053"/>
      <c r="D169" s="1053"/>
      <c r="E169" s="1053"/>
      <c r="P169" s="1001"/>
      <c r="R169" s="1054"/>
      <c r="S169" s="1054"/>
      <c r="T169" s="1054"/>
      <c r="U169" s="1054"/>
      <c r="V169" s="1054"/>
      <c r="W169" s="1054"/>
      <c r="X169" s="1054"/>
      <c r="Y169" s="1054"/>
    </row>
    <row r="170" spans="1:25">
      <c r="A170" s="1053"/>
      <c r="B170" s="1053"/>
      <c r="C170" s="1053"/>
      <c r="D170" s="1053"/>
      <c r="E170" s="1053"/>
      <c r="P170" s="1001"/>
      <c r="R170" s="1054"/>
      <c r="S170" s="1054"/>
      <c r="T170" s="1054"/>
      <c r="U170" s="1054"/>
      <c r="V170" s="1054"/>
      <c r="W170" s="1054"/>
      <c r="X170" s="1054"/>
      <c r="Y170" s="1054"/>
    </row>
    <row r="171" spans="1:25">
      <c r="A171" s="1053"/>
      <c r="B171" s="1053"/>
      <c r="C171" s="1053"/>
      <c r="D171" s="1053"/>
      <c r="E171" s="1053"/>
      <c r="P171" s="1001"/>
      <c r="R171" s="1054"/>
      <c r="S171" s="1054"/>
      <c r="T171" s="1054"/>
      <c r="U171" s="1054"/>
      <c r="V171" s="1054"/>
      <c r="W171" s="1054"/>
      <c r="X171" s="1054"/>
      <c r="Y171" s="1054"/>
    </row>
    <row r="172" spans="1:25">
      <c r="A172" s="1053"/>
      <c r="B172" s="1053"/>
      <c r="C172" s="1053"/>
      <c r="D172" s="1053"/>
      <c r="E172" s="1053"/>
      <c r="P172" s="1001"/>
      <c r="R172" s="1054"/>
      <c r="S172" s="1054"/>
      <c r="T172" s="1054"/>
      <c r="U172" s="1054"/>
      <c r="V172" s="1054"/>
      <c r="W172" s="1054"/>
      <c r="X172" s="1054"/>
      <c r="Y172" s="1054"/>
    </row>
    <row r="173" spans="1:25">
      <c r="A173" s="1053"/>
      <c r="B173" s="1053"/>
      <c r="C173" s="1053"/>
      <c r="D173" s="1053"/>
      <c r="E173" s="1053"/>
      <c r="P173" s="1001"/>
      <c r="R173" s="1054"/>
      <c r="S173" s="1054"/>
      <c r="T173" s="1054"/>
      <c r="U173" s="1054"/>
      <c r="V173" s="1054"/>
      <c r="W173" s="1054"/>
      <c r="X173" s="1054"/>
      <c r="Y173" s="1054"/>
    </row>
    <row r="174" spans="1:25">
      <c r="A174" s="1053"/>
      <c r="B174" s="1053"/>
      <c r="C174" s="1053"/>
      <c r="D174" s="1053"/>
      <c r="E174" s="1053"/>
      <c r="P174" s="1001"/>
      <c r="R174" s="1054"/>
      <c r="S174" s="1054"/>
      <c r="T174" s="1054"/>
      <c r="U174" s="1054"/>
      <c r="V174" s="1054"/>
      <c r="W174" s="1054"/>
      <c r="X174" s="1054"/>
      <c r="Y174" s="1054"/>
    </row>
    <row r="175" spans="1:25">
      <c r="A175" s="1053"/>
      <c r="B175" s="1053"/>
      <c r="C175" s="1053"/>
      <c r="D175" s="1053"/>
      <c r="E175" s="1053"/>
      <c r="P175" s="1001"/>
      <c r="R175" s="1054"/>
      <c r="S175" s="1054"/>
      <c r="T175" s="1054"/>
      <c r="U175" s="1054"/>
      <c r="V175" s="1054"/>
      <c r="W175" s="1054"/>
      <c r="X175" s="1054"/>
      <c r="Y175" s="1054"/>
    </row>
    <row r="176" spans="1:25">
      <c r="A176" s="1053"/>
      <c r="B176" s="1053"/>
      <c r="C176" s="1053"/>
      <c r="D176" s="1053"/>
      <c r="E176" s="1053"/>
      <c r="P176" s="1001"/>
      <c r="R176" s="1054"/>
      <c r="S176" s="1054"/>
      <c r="T176" s="1054"/>
      <c r="U176" s="1054"/>
      <c r="V176" s="1054"/>
      <c r="W176" s="1054"/>
      <c r="X176" s="1054"/>
      <c r="Y176" s="1054"/>
    </row>
    <row r="177" spans="1:25">
      <c r="A177" s="1053"/>
      <c r="B177" s="1053"/>
      <c r="C177" s="1053"/>
      <c r="D177" s="1053"/>
      <c r="E177" s="1053"/>
      <c r="P177" s="1001"/>
      <c r="R177" s="1054"/>
      <c r="S177" s="1054"/>
      <c r="T177" s="1054"/>
      <c r="U177" s="1054"/>
      <c r="V177" s="1054"/>
      <c r="W177" s="1054"/>
      <c r="X177" s="1054"/>
      <c r="Y177" s="1054"/>
    </row>
    <row r="178" spans="1:25">
      <c r="A178" s="1053"/>
      <c r="B178" s="1053"/>
      <c r="C178" s="1053"/>
      <c r="D178" s="1053"/>
      <c r="E178" s="1053"/>
      <c r="P178" s="1001"/>
      <c r="R178" s="1054"/>
      <c r="S178" s="1054"/>
      <c r="T178" s="1054"/>
      <c r="U178" s="1054"/>
      <c r="V178" s="1054"/>
      <c r="W178" s="1054"/>
      <c r="X178" s="1054"/>
      <c r="Y178" s="1054"/>
    </row>
    <row r="179" spans="1:25">
      <c r="A179" s="1053"/>
      <c r="B179" s="1053"/>
      <c r="C179" s="1053"/>
      <c r="D179" s="1053"/>
      <c r="E179" s="1053"/>
      <c r="P179" s="1001"/>
      <c r="R179" s="1054"/>
      <c r="S179" s="1054"/>
      <c r="T179" s="1054"/>
      <c r="U179" s="1054"/>
      <c r="V179" s="1054"/>
      <c r="W179" s="1054"/>
      <c r="X179" s="1054"/>
      <c r="Y179" s="1054"/>
    </row>
    <row r="180" spans="1:25">
      <c r="A180" s="1053"/>
      <c r="B180" s="1053"/>
      <c r="C180" s="1053"/>
      <c r="D180" s="1053"/>
      <c r="E180" s="1053"/>
      <c r="P180" s="1001"/>
      <c r="R180" s="1054"/>
      <c r="S180" s="1054"/>
      <c r="T180" s="1054"/>
      <c r="U180" s="1054"/>
      <c r="V180" s="1054"/>
      <c r="W180" s="1054"/>
      <c r="X180" s="1054"/>
      <c r="Y180" s="1054"/>
    </row>
    <row r="181" spans="1:25">
      <c r="A181" s="1053"/>
      <c r="B181" s="1053"/>
      <c r="C181" s="1053"/>
      <c r="D181" s="1053"/>
      <c r="E181" s="1053"/>
      <c r="P181" s="1001"/>
      <c r="R181" s="1054"/>
      <c r="S181" s="1054"/>
      <c r="T181" s="1054"/>
      <c r="U181" s="1054"/>
      <c r="V181" s="1054"/>
      <c r="W181" s="1054"/>
      <c r="X181" s="1054"/>
      <c r="Y181" s="1054"/>
    </row>
    <row r="182" spans="1:25">
      <c r="A182" s="1053"/>
      <c r="B182" s="1053"/>
      <c r="C182" s="1053"/>
      <c r="D182" s="1053"/>
      <c r="E182" s="1053"/>
      <c r="P182" s="1001"/>
      <c r="R182" s="1054"/>
      <c r="S182" s="1054"/>
      <c r="T182" s="1054"/>
      <c r="U182" s="1054"/>
      <c r="V182" s="1054"/>
      <c r="W182" s="1054"/>
      <c r="X182" s="1054"/>
      <c r="Y182" s="1054"/>
    </row>
    <row r="183" spans="1:25">
      <c r="A183" s="1053"/>
      <c r="B183" s="1053"/>
      <c r="C183" s="1053"/>
      <c r="D183" s="1053"/>
      <c r="E183" s="1053"/>
      <c r="P183" s="1001"/>
      <c r="R183" s="1054"/>
      <c r="S183" s="1054"/>
      <c r="T183" s="1054"/>
      <c r="U183" s="1054"/>
      <c r="V183" s="1054"/>
      <c r="W183" s="1054"/>
      <c r="X183" s="1054"/>
      <c r="Y183" s="1054"/>
    </row>
    <row r="184" spans="1:25">
      <c r="A184" s="1053"/>
      <c r="B184" s="1053"/>
      <c r="C184" s="1053"/>
      <c r="D184" s="1053"/>
      <c r="E184" s="1053"/>
      <c r="P184" s="1001"/>
      <c r="R184" s="1054"/>
      <c r="S184" s="1054"/>
      <c r="T184" s="1054"/>
      <c r="U184" s="1054"/>
      <c r="V184" s="1054"/>
      <c r="W184" s="1054"/>
      <c r="X184" s="1054"/>
      <c r="Y184" s="1054"/>
    </row>
    <row r="185" spans="1:25">
      <c r="A185" s="1053"/>
      <c r="B185" s="1053"/>
      <c r="C185" s="1053"/>
      <c r="D185" s="1053"/>
      <c r="E185" s="1053"/>
      <c r="P185" s="1001"/>
      <c r="R185" s="1054"/>
      <c r="S185" s="1054"/>
      <c r="T185" s="1054"/>
      <c r="U185" s="1054"/>
      <c r="V185" s="1054"/>
      <c r="W185" s="1054"/>
      <c r="X185" s="1054"/>
      <c r="Y185" s="1054"/>
    </row>
    <row r="186" spans="1:25">
      <c r="A186" s="1053"/>
      <c r="B186" s="1053"/>
      <c r="C186" s="1053"/>
      <c r="D186" s="1053"/>
      <c r="E186" s="1053"/>
      <c r="P186" s="1001"/>
      <c r="R186" s="1054"/>
      <c r="S186" s="1054"/>
      <c r="T186" s="1054"/>
      <c r="U186" s="1054"/>
      <c r="V186" s="1054"/>
      <c r="W186" s="1054"/>
      <c r="X186" s="1054"/>
      <c r="Y186" s="1054"/>
    </row>
    <row r="187" spans="1:25">
      <c r="A187" s="1053"/>
      <c r="B187" s="1053"/>
      <c r="C187" s="1053"/>
      <c r="D187" s="1053"/>
      <c r="E187" s="1053"/>
      <c r="P187" s="1001"/>
      <c r="R187" s="1054"/>
      <c r="S187" s="1054"/>
      <c r="T187" s="1054"/>
      <c r="U187" s="1054"/>
      <c r="V187" s="1054"/>
      <c r="W187" s="1054"/>
      <c r="X187" s="1054"/>
      <c r="Y187" s="1054"/>
    </row>
    <row r="188" spans="1:25">
      <c r="A188" s="1053"/>
      <c r="B188" s="1053"/>
      <c r="C188" s="1053"/>
      <c r="D188" s="1053"/>
      <c r="E188" s="1053"/>
      <c r="P188" s="1001"/>
      <c r="R188" s="1054"/>
      <c r="S188" s="1054"/>
      <c r="T188" s="1054"/>
      <c r="U188" s="1054"/>
      <c r="V188" s="1054"/>
      <c r="W188" s="1054"/>
      <c r="X188" s="1054"/>
      <c r="Y188" s="1054"/>
    </row>
    <row r="189" spans="1:25">
      <c r="A189" s="1053"/>
      <c r="B189" s="1053"/>
      <c r="C189" s="1053"/>
      <c r="D189" s="1053"/>
      <c r="E189" s="1053"/>
      <c r="P189" s="1001"/>
      <c r="R189" s="1054"/>
      <c r="S189" s="1054"/>
      <c r="T189" s="1054"/>
      <c r="U189" s="1054"/>
      <c r="V189" s="1054"/>
      <c r="W189" s="1054"/>
      <c r="X189" s="1054"/>
      <c r="Y189" s="1054"/>
    </row>
    <row r="190" spans="1:25">
      <c r="A190" s="1053"/>
      <c r="B190" s="1053"/>
      <c r="C190" s="1053"/>
      <c r="D190" s="1053"/>
      <c r="E190" s="1053"/>
      <c r="P190" s="1001"/>
      <c r="R190" s="1054"/>
      <c r="S190" s="1054"/>
      <c r="T190" s="1054"/>
      <c r="U190" s="1054"/>
      <c r="V190" s="1054"/>
      <c r="W190" s="1054"/>
      <c r="X190" s="1054"/>
      <c r="Y190" s="1054"/>
    </row>
    <row r="191" spans="1:25">
      <c r="A191" s="1053"/>
      <c r="B191" s="1053"/>
      <c r="C191" s="1053"/>
      <c r="D191" s="1053"/>
      <c r="E191" s="1053"/>
      <c r="P191" s="1001"/>
      <c r="R191" s="1054"/>
      <c r="S191" s="1054"/>
      <c r="T191" s="1054"/>
      <c r="U191" s="1054"/>
      <c r="V191" s="1054"/>
      <c r="W191" s="1054"/>
      <c r="X191" s="1054"/>
      <c r="Y191" s="1054"/>
    </row>
    <row r="192" spans="1:25">
      <c r="A192" s="1053"/>
      <c r="B192" s="1053"/>
      <c r="C192" s="1053"/>
      <c r="D192" s="1053"/>
      <c r="E192" s="1053"/>
      <c r="P192" s="1001"/>
      <c r="R192" s="1054"/>
      <c r="S192" s="1054"/>
      <c r="T192" s="1054"/>
      <c r="U192" s="1054"/>
      <c r="V192" s="1054"/>
      <c r="W192" s="1054"/>
      <c r="X192" s="1054"/>
      <c r="Y192" s="1054"/>
    </row>
    <row r="193" spans="1:25">
      <c r="A193" s="1053"/>
      <c r="B193" s="1053"/>
      <c r="C193" s="1053"/>
      <c r="D193" s="1053"/>
      <c r="E193" s="1053"/>
      <c r="P193" s="1001"/>
      <c r="R193" s="1054"/>
      <c r="S193" s="1054"/>
      <c r="T193" s="1054"/>
      <c r="U193" s="1054"/>
      <c r="V193" s="1054"/>
      <c r="W193" s="1054"/>
      <c r="X193" s="1054"/>
      <c r="Y193" s="1054"/>
    </row>
    <row r="194" spans="1:25">
      <c r="A194" s="1053"/>
      <c r="B194" s="1053"/>
      <c r="C194" s="1053"/>
      <c r="D194" s="1053"/>
      <c r="E194" s="1053"/>
      <c r="P194" s="1001"/>
      <c r="R194" s="1054"/>
      <c r="S194" s="1054"/>
      <c r="T194" s="1054"/>
      <c r="U194" s="1054"/>
      <c r="V194" s="1054"/>
      <c r="W194" s="1054"/>
      <c r="X194" s="1054"/>
      <c r="Y194" s="1054"/>
    </row>
    <row r="195" spans="1:25">
      <c r="A195" s="1053"/>
      <c r="B195" s="1053"/>
      <c r="C195" s="1053"/>
      <c r="D195" s="1053"/>
      <c r="E195" s="1053"/>
      <c r="P195" s="1001"/>
      <c r="R195" s="1054"/>
      <c r="S195" s="1054"/>
      <c r="T195" s="1054"/>
      <c r="U195" s="1054"/>
      <c r="V195" s="1054"/>
      <c r="W195" s="1054"/>
      <c r="X195" s="1054"/>
      <c r="Y195" s="1054"/>
    </row>
    <row r="196" spans="1:25">
      <c r="A196" s="1053"/>
      <c r="B196" s="1053"/>
      <c r="C196" s="1053"/>
      <c r="D196" s="1053"/>
      <c r="E196" s="1053"/>
      <c r="P196" s="1001"/>
      <c r="R196" s="1054"/>
      <c r="S196" s="1054"/>
      <c r="T196" s="1054"/>
      <c r="U196" s="1054"/>
      <c r="V196" s="1054"/>
      <c r="W196" s="1054"/>
      <c r="X196" s="1054"/>
      <c r="Y196" s="1054"/>
    </row>
    <row r="197" spans="1:25">
      <c r="A197" s="1053"/>
      <c r="B197" s="1053"/>
      <c r="C197" s="1053"/>
      <c r="D197" s="1053"/>
      <c r="E197" s="1053"/>
      <c r="P197" s="1001"/>
      <c r="R197" s="1054"/>
      <c r="S197" s="1054"/>
      <c r="T197" s="1054"/>
      <c r="U197" s="1054"/>
      <c r="V197" s="1054"/>
      <c r="W197" s="1054"/>
      <c r="X197" s="1054"/>
      <c r="Y197" s="1054"/>
    </row>
    <row r="198" spans="1:25">
      <c r="A198" s="1053"/>
      <c r="B198" s="1053"/>
      <c r="C198" s="1053"/>
      <c r="D198" s="1053"/>
      <c r="E198" s="1053"/>
      <c r="P198" s="1001"/>
      <c r="R198" s="1054"/>
      <c r="S198" s="1054"/>
      <c r="T198" s="1054"/>
      <c r="U198" s="1054"/>
      <c r="V198" s="1054"/>
      <c r="W198" s="1054"/>
      <c r="X198" s="1054"/>
      <c r="Y198" s="1054"/>
    </row>
    <row r="199" spans="1:25">
      <c r="A199" s="1053"/>
      <c r="B199" s="1053"/>
      <c r="C199" s="1053"/>
      <c r="D199" s="1053"/>
      <c r="E199" s="1053"/>
      <c r="P199" s="1001"/>
      <c r="R199" s="1054"/>
      <c r="S199" s="1054"/>
      <c r="T199" s="1054"/>
      <c r="U199" s="1054"/>
      <c r="V199" s="1054"/>
      <c r="W199" s="1054"/>
      <c r="X199" s="1054"/>
      <c r="Y199" s="1054"/>
    </row>
    <row r="200" spans="1:25">
      <c r="A200" s="1053"/>
      <c r="B200" s="1053"/>
      <c r="C200" s="1053"/>
      <c r="D200" s="1053"/>
      <c r="E200" s="1053"/>
      <c r="P200" s="1001"/>
      <c r="R200" s="1054"/>
      <c r="S200" s="1054"/>
      <c r="T200" s="1054"/>
      <c r="U200" s="1054"/>
      <c r="V200" s="1054"/>
      <c r="W200" s="1054"/>
      <c r="X200" s="1054"/>
      <c r="Y200" s="1054"/>
    </row>
    <row r="201" spans="1:25">
      <c r="A201" s="1053"/>
      <c r="B201" s="1053"/>
      <c r="C201" s="1053"/>
      <c r="D201" s="1053"/>
      <c r="E201" s="1053"/>
      <c r="P201" s="1001"/>
      <c r="R201" s="1054"/>
      <c r="S201" s="1054"/>
      <c r="T201" s="1054"/>
      <c r="U201" s="1054"/>
      <c r="V201" s="1054"/>
      <c r="W201" s="1054"/>
      <c r="X201" s="1054"/>
      <c r="Y201" s="1054"/>
    </row>
    <row r="202" spans="1:25">
      <c r="A202" s="1053"/>
      <c r="B202" s="1053"/>
      <c r="C202" s="1053"/>
      <c r="D202" s="1053"/>
      <c r="E202" s="1053"/>
      <c r="P202" s="1001"/>
      <c r="R202" s="1054"/>
      <c r="S202" s="1054"/>
      <c r="T202" s="1054"/>
      <c r="U202" s="1054"/>
      <c r="V202" s="1054"/>
      <c r="W202" s="1054"/>
      <c r="X202" s="1054"/>
      <c r="Y202" s="1054"/>
    </row>
    <row r="203" spans="1:25">
      <c r="A203" s="1053"/>
      <c r="B203" s="1053"/>
      <c r="C203" s="1053"/>
      <c r="D203" s="1053"/>
      <c r="E203" s="1053"/>
      <c r="P203" s="1001"/>
      <c r="R203" s="1054"/>
      <c r="S203" s="1054"/>
      <c r="T203" s="1054"/>
      <c r="U203" s="1054"/>
      <c r="V203" s="1054"/>
      <c r="W203" s="1054"/>
      <c r="X203" s="1054"/>
      <c r="Y203" s="1054"/>
    </row>
    <row r="204" spans="1:25">
      <c r="A204" s="1053"/>
      <c r="B204" s="1053"/>
      <c r="C204" s="1053"/>
      <c r="D204" s="1053"/>
      <c r="E204" s="1053"/>
      <c r="P204" s="1001"/>
      <c r="R204" s="1054"/>
      <c r="S204" s="1054"/>
      <c r="T204" s="1054"/>
      <c r="U204" s="1054"/>
      <c r="V204" s="1054"/>
      <c r="W204" s="1054"/>
      <c r="X204" s="1054"/>
      <c r="Y204" s="1054"/>
    </row>
    <row r="205" spans="1:25">
      <c r="A205" s="1053"/>
      <c r="B205" s="1053"/>
      <c r="C205" s="1053"/>
      <c r="D205" s="1053"/>
      <c r="E205" s="1053"/>
      <c r="P205" s="1001"/>
      <c r="R205" s="1054"/>
      <c r="S205" s="1054"/>
      <c r="T205" s="1054"/>
      <c r="U205" s="1054"/>
      <c r="V205" s="1054"/>
      <c r="W205" s="1054"/>
      <c r="X205" s="1054"/>
      <c r="Y205" s="1054"/>
    </row>
    <row r="206" spans="1:25">
      <c r="A206" s="1053"/>
      <c r="B206" s="1053"/>
      <c r="C206" s="1053"/>
      <c r="D206" s="1053"/>
      <c r="E206" s="1053"/>
      <c r="P206" s="1001"/>
      <c r="R206" s="1054"/>
      <c r="S206" s="1054"/>
      <c r="T206" s="1054"/>
      <c r="U206" s="1054"/>
      <c r="V206" s="1054"/>
      <c r="W206" s="1054"/>
      <c r="X206" s="1054"/>
      <c r="Y206" s="1054"/>
    </row>
    <row r="207" spans="1:25">
      <c r="A207" s="1053"/>
      <c r="B207" s="1053"/>
      <c r="C207" s="1053"/>
      <c r="D207" s="1053"/>
      <c r="E207" s="1053"/>
      <c r="P207" s="1001"/>
      <c r="R207" s="1054"/>
      <c r="S207" s="1054"/>
      <c r="T207" s="1054"/>
      <c r="U207" s="1054"/>
      <c r="V207" s="1054"/>
      <c r="W207" s="1054"/>
      <c r="X207" s="1054"/>
      <c r="Y207" s="1054"/>
    </row>
    <row r="208" spans="1:25">
      <c r="A208" s="1053"/>
      <c r="B208" s="1053"/>
      <c r="C208" s="1053"/>
      <c r="D208" s="1053"/>
      <c r="E208" s="1053"/>
      <c r="P208" s="1001"/>
      <c r="R208" s="1054"/>
      <c r="S208" s="1054"/>
      <c r="T208" s="1054"/>
      <c r="U208" s="1054"/>
      <c r="V208" s="1054"/>
      <c r="W208" s="1054"/>
      <c r="X208" s="1054"/>
      <c r="Y208" s="1054"/>
    </row>
    <row r="209" spans="1:25">
      <c r="A209" s="1053"/>
      <c r="B209" s="1053"/>
      <c r="C209" s="1053"/>
      <c r="D209" s="1053"/>
      <c r="E209" s="1053"/>
      <c r="P209" s="1001"/>
      <c r="R209" s="1054"/>
      <c r="S209" s="1054"/>
      <c r="T209" s="1054"/>
      <c r="U209" s="1054"/>
      <c r="V209" s="1054"/>
      <c r="W209" s="1054"/>
      <c r="X209" s="1054"/>
      <c r="Y209" s="1054"/>
    </row>
    <row r="210" spans="1:25">
      <c r="A210" s="1053"/>
      <c r="B210" s="1053"/>
      <c r="C210" s="1053"/>
      <c r="D210" s="1053"/>
      <c r="E210" s="1053"/>
      <c r="P210" s="1001"/>
      <c r="R210" s="1054"/>
      <c r="S210" s="1054"/>
      <c r="T210" s="1054"/>
      <c r="U210" s="1054"/>
      <c r="V210" s="1054"/>
      <c r="W210" s="1054"/>
      <c r="X210" s="1054"/>
      <c r="Y210" s="1054"/>
    </row>
    <row r="211" spans="1:25">
      <c r="A211" s="1053"/>
      <c r="B211" s="1053"/>
      <c r="C211" s="1053"/>
      <c r="D211" s="1053"/>
      <c r="E211" s="1053"/>
      <c r="P211" s="1001"/>
      <c r="R211" s="1054"/>
      <c r="S211" s="1054"/>
      <c r="T211" s="1054"/>
      <c r="U211" s="1054"/>
      <c r="V211" s="1054"/>
      <c r="W211" s="1054"/>
      <c r="X211" s="1054"/>
      <c r="Y211" s="1054"/>
    </row>
    <row r="212" spans="1:25">
      <c r="A212" s="1053"/>
      <c r="B212" s="1053"/>
      <c r="C212" s="1053"/>
      <c r="D212" s="1053"/>
      <c r="E212" s="1053"/>
      <c r="P212" s="1001"/>
      <c r="R212" s="1054"/>
      <c r="S212" s="1054"/>
      <c r="T212" s="1054"/>
      <c r="U212" s="1054"/>
      <c r="V212" s="1054"/>
      <c r="W212" s="1054"/>
      <c r="X212" s="1054"/>
      <c r="Y212" s="1054"/>
    </row>
    <row r="213" spans="1:25">
      <c r="A213" s="1053"/>
      <c r="B213" s="1053"/>
      <c r="C213" s="1053"/>
      <c r="D213" s="1053"/>
      <c r="E213" s="1053"/>
      <c r="P213" s="1001"/>
      <c r="R213" s="1054"/>
      <c r="S213" s="1054"/>
      <c r="T213" s="1054"/>
      <c r="U213" s="1054"/>
      <c r="V213" s="1054"/>
      <c r="W213" s="1054"/>
      <c r="X213" s="1054"/>
      <c r="Y213" s="1054"/>
    </row>
    <row r="214" spans="1:25">
      <c r="A214" s="1053"/>
      <c r="B214" s="1053"/>
      <c r="C214" s="1053"/>
      <c r="D214" s="1053"/>
      <c r="E214" s="1053"/>
      <c r="P214" s="1001"/>
      <c r="R214" s="1054"/>
      <c r="S214" s="1054"/>
      <c r="T214" s="1054"/>
      <c r="U214" s="1054"/>
      <c r="V214" s="1054"/>
      <c r="W214" s="1054"/>
      <c r="X214" s="1054"/>
      <c r="Y214" s="1054"/>
    </row>
    <row r="215" spans="1:25">
      <c r="A215" s="1053"/>
      <c r="B215" s="1053"/>
      <c r="C215" s="1053"/>
      <c r="D215" s="1053"/>
      <c r="E215" s="1053"/>
      <c r="P215" s="1001"/>
      <c r="R215" s="1054"/>
      <c r="S215" s="1054"/>
      <c r="T215" s="1054"/>
      <c r="U215" s="1054"/>
      <c r="V215" s="1054"/>
      <c r="W215" s="1054"/>
      <c r="X215" s="1054"/>
      <c r="Y215" s="1054"/>
    </row>
    <row r="216" spans="1:25">
      <c r="A216" s="1053"/>
      <c r="B216" s="1053"/>
      <c r="C216" s="1053"/>
      <c r="D216" s="1053"/>
      <c r="E216" s="1053"/>
      <c r="P216" s="1001"/>
      <c r="R216" s="1054"/>
      <c r="S216" s="1054"/>
      <c r="T216" s="1054"/>
      <c r="U216" s="1054"/>
      <c r="V216" s="1054"/>
      <c r="W216" s="1054"/>
      <c r="X216" s="1054"/>
      <c r="Y216" s="1054"/>
    </row>
    <row r="217" spans="1:25">
      <c r="A217" s="1053"/>
      <c r="B217" s="1053"/>
      <c r="C217" s="1053"/>
      <c r="D217" s="1053"/>
      <c r="E217" s="1053"/>
      <c r="P217" s="1001"/>
      <c r="R217" s="1054"/>
      <c r="S217" s="1054"/>
      <c r="T217" s="1054"/>
      <c r="U217" s="1054"/>
      <c r="V217" s="1054"/>
      <c r="W217" s="1054"/>
      <c r="X217" s="1054"/>
      <c r="Y217" s="1054"/>
    </row>
    <row r="218" spans="1:25">
      <c r="A218" s="1053"/>
      <c r="B218" s="1053"/>
      <c r="C218" s="1053"/>
      <c r="D218" s="1053"/>
      <c r="E218" s="1053"/>
      <c r="P218" s="1001"/>
      <c r="R218" s="1054"/>
      <c r="S218" s="1054"/>
      <c r="T218" s="1054"/>
      <c r="U218" s="1054"/>
      <c r="V218" s="1054"/>
      <c r="W218" s="1054"/>
      <c r="X218" s="1054"/>
      <c r="Y218" s="1054"/>
    </row>
    <row r="219" spans="1:25">
      <c r="A219" s="1053"/>
      <c r="B219" s="1053"/>
      <c r="C219" s="1053"/>
      <c r="D219" s="1053"/>
      <c r="E219" s="1053"/>
      <c r="P219" s="1001"/>
      <c r="R219" s="1054"/>
      <c r="S219" s="1054"/>
      <c r="T219" s="1054"/>
      <c r="U219" s="1054"/>
      <c r="V219" s="1054"/>
      <c r="W219" s="1054"/>
      <c r="X219" s="1054"/>
      <c r="Y219" s="1054"/>
    </row>
    <row r="220" spans="1:25">
      <c r="A220" s="1053"/>
      <c r="B220" s="1053"/>
      <c r="C220" s="1053"/>
      <c r="D220" s="1053"/>
      <c r="E220" s="1053"/>
      <c r="P220" s="1001"/>
      <c r="R220" s="1054"/>
      <c r="S220" s="1054"/>
      <c r="T220" s="1054"/>
      <c r="U220" s="1054"/>
      <c r="V220" s="1054"/>
      <c r="W220" s="1054"/>
      <c r="X220" s="1054"/>
      <c r="Y220" s="1054"/>
    </row>
    <row r="221" spans="1:25">
      <c r="A221" s="1053"/>
      <c r="B221" s="1053"/>
      <c r="C221" s="1053"/>
      <c r="D221" s="1053"/>
      <c r="E221" s="1053"/>
      <c r="P221" s="1001"/>
      <c r="R221" s="1054"/>
      <c r="S221" s="1054"/>
      <c r="T221" s="1054"/>
      <c r="U221" s="1054"/>
      <c r="V221" s="1054"/>
      <c r="W221" s="1054"/>
      <c r="X221" s="1054"/>
      <c r="Y221" s="1054"/>
    </row>
    <row r="222" spans="1:25">
      <c r="A222" s="1053"/>
      <c r="B222" s="1053"/>
      <c r="C222" s="1053"/>
      <c r="D222" s="1053"/>
      <c r="E222" s="1053"/>
      <c r="P222" s="1001"/>
      <c r="R222" s="1054"/>
      <c r="S222" s="1054"/>
      <c r="T222" s="1054"/>
      <c r="U222" s="1054"/>
      <c r="V222" s="1054"/>
      <c r="W222" s="1054"/>
      <c r="X222" s="1054"/>
      <c r="Y222" s="1054"/>
    </row>
    <row r="223" spans="1:25">
      <c r="A223" s="1053"/>
      <c r="B223" s="1053"/>
      <c r="C223" s="1053"/>
      <c r="D223" s="1053"/>
      <c r="E223" s="1053"/>
      <c r="P223" s="1001"/>
      <c r="R223" s="1054"/>
      <c r="S223" s="1054"/>
      <c r="T223" s="1054"/>
      <c r="U223" s="1054"/>
      <c r="V223" s="1054"/>
      <c r="W223" s="1054"/>
      <c r="X223" s="1054"/>
      <c r="Y223" s="1054"/>
    </row>
    <row r="224" spans="1:25">
      <c r="A224" s="1053"/>
      <c r="B224" s="1053"/>
      <c r="C224" s="1053"/>
      <c r="D224" s="1053"/>
      <c r="E224" s="1053"/>
      <c r="P224" s="1001"/>
      <c r="R224" s="1054"/>
      <c r="S224" s="1054"/>
      <c r="T224" s="1054"/>
      <c r="U224" s="1054"/>
      <c r="V224" s="1054"/>
      <c r="W224" s="1054"/>
      <c r="X224" s="1054"/>
      <c r="Y224" s="1054"/>
    </row>
    <row r="225" spans="1:25">
      <c r="A225" s="1053"/>
      <c r="B225" s="1053"/>
      <c r="C225" s="1053"/>
      <c r="D225" s="1053"/>
      <c r="E225" s="1053"/>
      <c r="P225" s="1001"/>
      <c r="R225" s="1054"/>
      <c r="S225" s="1054"/>
      <c r="T225" s="1054"/>
      <c r="U225" s="1054"/>
      <c r="V225" s="1054"/>
      <c r="W225" s="1054"/>
      <c r="X225" s="1054"/>
      <c r="Y225" s="1054"/>
    </row>
    <row r="226" spans="1:25">
      <c r="A226" s="1053"/>
      <c r="B226" s="1053"/>
      <c r="C226" s="1053"/>
      <c r="D226" s="1053"/>
      <c r="E226" s="1053"/>
      <c r="P226" s="1001"/>
      <c r="R226" s="1054"/>
      <c r="S226" s="1054"/>
      <c r="T226" s="1054"/>
      <c r="U226" s="1054"/>
      <c r="V226" s="1054"/>
      <c r="W226" s="1054"/>
      <c r="X226" s="1054"/>
      <c r="Y226" s="1054"/>
    </row>
    <row r="227" spans="1:25">
      <c r="A227" s="1053"/>
      <c r="B227" s="1053"/>
      <c r="C227" s="1053"/>
      <c r="D227" s="1053"/>
      <c r="E227" s="1053"/>
      <c r="P227" s="1001"/>
      <c r="R227" s="1054"/>
      <c r="S227" s="1054"/>
      <c r="T227" s="1054"/>
      <c r="U227" s="1054"/>
      <c r="V227" s="1054"/>
      <c r="W227" s="1054"/>
      <c r="X227" s="1054"/>
      <c r="Y227" s="1054"/>
    </row>
    <row r="228" spans="1:25">
      <c r="A228" s="1053"/>
      <c r="B228" s="1053"/>
      <c r="C228" s="1053"/>
      <c r="D228" s="1053"/>
      <c r="E228" s="1053"/>
      <c r="P228" s="1001"/>
      <c r="R228" s="1054"/>
      <c r="S228" s="1054"/>
      <c r="T228" s="1054"/>
      <c r="U228" s="1054"/>
      <c r="V228" s="1054"/>
      <c r="W228" s="1054"/>
      <c r="X228" s="1054"/>
      <c r="Y228" s="1054"/>
    </row>
    <row r="229" spans="1:25">
      <c r="A229" s="1053"/>
      <c r="B229" s="1053"/>
      <c r="C229" s="1053"/>
      <c r="D229" s="1053"/>
      <c r="E229" s="1053"/>
      <c r="P229" s="1001"/>
      <c r="R229" s="1054"/>
      <c r="S229" s="1054"/>
      <c r="T229" s="1054"/>
      <c r="U229" s="1054"/>
      <c r="V229" s="1054"/>
      <c r="W229" s="1054"/>
      <c r="X229" s="1054"/>
      <c r="Y229" s="1054"/>
    </row>
    <row r="230" spans="1:25">
      <c r="A230" s="1053"/>
      <c r="B230" s="1053"/>
      <c r="C230" s="1053"/>
      <c r="D230" s="1053"/>
      <c r="E230" s="1053"/>
      <c r="P230" s="1001"/>
      <c r="R230" s="1054"/>
      <c r="S230" s="1054"/>
      <c r="T230" s="1054"/>
      <c r="U230" s="1054"/>
      <c r="V230" s="1054"/>
      <c r="W230" s="1054"/>
      <c r="X230" s="1054"/>
      <c r="Y230" s="1054"/>
    </row>
    <row r="231" spans="1:25">
      <c r="A231" s="1053"/>
      <c r="B231" s="1053"/>
      <c r="C231" s="1053"/>
      <c r="D231" s="1053"/>
      <c r="E231" s="1053"/>
      <c r="P231" s="1001"/>
      <c r="R231" s="1054"/>
      <c r="S231" s="1054"/>
      <c r="T231" s="1054"/>
      <c r="U231" s="1054"/>
      <c r="V231" s="1054"/>
      <c r="W231" s="1054"/>
      <c r="X231" s="1054"/>
      <c r="Y231" s="1054"/>
    </row>
    <row r="232" spans="1:25">
      <c r="A232" s="1053"/>
      <c r="B232" s="1053"/>
      <c r="C232" s="1053"/>
      <c r="D232" s="1053"/>
      <c r="E232" s="1053"/>
      <c r="P232" s="1001"/>
      <c r="R232" s="1054"/>
      <c r="S232" s="1054"/>
      <c r="T232" s="1054"/>
      <c r="U232" s="1054"/>
      <c r="V232" s="1054"/>
      <c r="W232" s="1054"/>
      <c r="X232" s="1054"/>
      <c r="Y232" s="1054"/>
    </row>
    <row r="233" spans="1:25">
      <c r="A233" s="1053"/>
      <c r="B233" s="1053"/>
      <c r="C233" s="1053"/>
      <c r="D233" s="1053"/>
      <c r="E233" s="1053"/>
      <c r="P233" s="1001"/>
      <c r="R233" s="1054"/>
      <c r="S233" s="1054"/>
      <c r="T233" s="1054"/>
      <c r="U233" s="1054"/>
      <c r="V233" s="1054"/>
      <c r="W233" s="1054"/>
      <c r="X233" s="1054"/>
      <c r="Y233" s="1054"/>
    </row>
    <row r="234" spans="1:25">
      <c r="A234" s="1053"/>
      <c r="B234" s="1053"/>
      <c r="C234" s="1053"/>
      <c r="D234" s="1053"/>
      <c r="E234" s="1053"/>
      <c r="P234" s="1001"/>
      <c r="R234" s="1054"/>
      <c r="S234" s="1054"/>
      <c r="T234" s="1054"/>
      <c r="U234" s="1054"/>
      <c r="V234" s="1054"/>
      <c r="W234" s="1054"/>
      <c r="X234" s="1054"/>
      <c r="Y234" s="1054"/>
    </row>
    <row r="235" spans="1:25">
      <c r="A235" s="1053"/>
      <c r="B235" s="1053"/>
      <c r="C235" s="1053"/>
      <c r="D235" s="1053"/>
      <c r="E235" s="1053"/>
      <c r="P235" s="1001"/>
      <c r="R235" s="1054"/>
      <c r="S235" s="1054"/>
      <c r="T235" s="1054"/>
      <c r="U235" s="1054"/>
      <c r="V235" s="1054"/>
      <c r="W235" s="1054"/>
      <c r="X235" s="1054"/>
      <c r="Y235" s="1054"/>
    </row>
    <row r="236" spans="1:25">
      <c r="A236" s="1053"/>
      <c r="B236" s="1053"/>
      <c r="C236" s="1053"/>
      <c r="D236" s="1053"/>
      <c r="E236" s="1053"/>
      <c r="P236" s="1001"/>
      <c r="R236" s="1054"/>
      <c r="S236" s="1054"/>
      <c r="T236" s="1054"/>
      <c r="U236" s="1054"/>
      <c r="V236" s="1054"/>
      <c r="W236" s="1054"/>
      <c r="X236" s="1054"/>
      <c r="Y236" s="1054"/>
    </row>
    <row r="237" spans="1:25">
      <c r="A237" s="1053"/>
      <c r="B237" s="1053"/>
      <c r="C237" s="1053"/>
      <c r="D237" s="1053"/>
      <c r="E237" s="1053"/>
      <c r="P237" s="1001"/>
      <c r="R237" s="1054"/>
      <c r="S237" s="1054"/>
      <c r="T237" s="1054"/>
      <c r="U237" s="1054"/>
      <c r="V237" s="1054"/>
      <c r="W237" s="1054"/>
      <c r="X237" s="1054"/>
      <c r="Y237" s="1054"/>
    </row>
    <row r="238" spans="1:25">
      <c r="A238" s="1053"/>
      <c r="B238" s="1053"/>
      <c r="C238" s="1053"/>
      <c r="D238" s="1053"/>
      <c r="E238" s="1053"/>
      <c r="P238" s="1001"/>
      <c r="R238" s="1054"/>
      <c r="S238" s="1054"/>
      <c r="T238" s="1054"/>
      <c r="U238" s="1054"/>
      <c r="V238" s="1054"/>
      <c r="W238" s="1054"/>
      <c r="X238" s="1054"/>
      <c r="Y238" s="1054"/>
    </row>
    <row r="239" spans="1:25">
      <c r="A239" s="1053"/>
      <c r="B239" s="1053"/>
      <c r="C239" s="1053"/>
      <c r="D239" s="1053"/>
      <c r="E239" s="1053"/>
      <c r="P239" s="1001"/>
      <c r="R239" s="1054"/>
      <c r="S239" s="1054"/>
      <c r="T239" s="1054"/>
      <c r="U239" s="1054"/>
      <c r="V239" s="1054"/>
      <c r="W239" s="1054"/>
      <c r="X239" s="1054"/>
      <c r="Y239" s="1054"/>
    </row>
    <row r="240" spans="1:25">
      <c r="A240" s="1053"/>
      <c r="B240" s="1053"/>
      <c r="C240" s="1053"/>
      <c r="D240" s="1053"/>
      <c r="E240" s="1053"/>
      <c r="P240" s="1001"/>
      <c r="R240" s="1054"/>
      <c r="S240" s="1054"/>
      <c r="T240" s="1054"/>
      <c r="U240" s="1054"/>
      <c r="V240" s="1054"/>
      <c r="W240" s="1054"/>
      <c r="X240" s="1054"/>
      <c r="Y240" s="1054"/>
    </row>
    <row r="241" spans="1:25">
      <c r="A241" s="1053"/>
      <c r="B241" s="1053"/>
      <c r="C241" s="1053"/>
      <c r="D241" s="1053"/>
      <c r="E241" s="1053"/>
      <c r="P241" s="1001"/>
      <c r="R241" s="1054"/>
      <c r="S241" s="1054"/>
      <c r="T241" s="1054"/>
      <c r="U241" s="1054"/>
      <c r="V241" s="1054"/>
      <c r="W241" s="1054"/>
      <c r="X241" s="1054"/>
      <c r="Y241" s="1054"/>
    </row>
    <row r="242" spans="1:25">
      <c r="A242" s="1053"/>
      <c r="B242" s="1053"/>
      <c r="C242" s="1053"/>
      <c r="D242" s="1053"/>
      <c r="E242" s="1053"/>
      <c r="P242" s="1001"/>
      <c r="R242" s="1054"/>
      <c r="S242" s="1054"/>
      <c r="T242" s="1054"/>
      <c r="U242" s="1054"/>
      <c r="V242" s="1054"/>
      <c r="W242" s="1054"/>
      <c r="X242" s="1054"/>
      <c r="Y242" s="1054"/>
    </row>
    <row r="243" spans="1:25">
      <c r="A243" s="1053"/>
      <c r="B243" s="1053"/>
      <c r="C243" s="1053"/>
      <c r="D243" s="1053"/>
      <c r="E243" s="1053"/>
      <c r="P243" s="1001"/>
      <c r="R243" s="1054"/>
      <c r="S243" s="1054"/>
      <c r="T243" s="1054"/>
      <c r="U243" s="1054"/>
      <c r="V243" s="1054"/>
      <c r="W243" s="1054"/>
      <c r="X243" s="1054"/>
      <c r="Y243" s="1054"/>
    </row>
    <row r="244" spans="1:25">
      <c r="A244" s="1053"/>
      <c r="B244" s="1053"/>
      <c r="C244" s="1053"/>
      <c r="D244" s="1053"/>
      <c r="E244" s="1053"/>
      <c r="P244" s="1001"/>
      <c r="R244" s="1054"/>
      <c r="S244" s="1054"/>
      <c r="T244" s="1054"/>
      <c r="U244" s="1054"/>
      <c r="V244" s="1054"/>
      <c r="W244" s="1054"/>
      <c r="X244" s="1054"/>
      <c r="Y244" s="1054"/>
    </row>
    <row r="245" spans="1:25">
      <c r="A245" s="1053"/>
      <c r="B245" s="1053"/>
      <c r="C245" s="1053"/>
      <c r="D245" s="1053"/>
      <c r="E245" s="1053"/>
      <c r="P245" s="1001"/>
      <c r="R245" s="1054"/>
      <c r="S245" s="1054"/>
      <c r="T245" s="1054"/>
      <c r="U245" s="1054"/>
      <c r="V245" s="1054"/>
      <c r="W245" s="1054"/>
      <c r="X245" s="1054"/>
      <c r="Y245" s="1054"/>
    </row>
    <row r="246" spans="1:25">
      <c r="A246" s="1053"/>
      <c r="B246" s="1053"/>
      <c r="C246" s="1053"/>
      <c r="D246" s="1053"/>
      <c r="E246" s="1053"/>
      <c r="P246" s="1001"/>
      <c r="R246" s="1054"/>
      <c r="S246" s="1054"/>
      <c r="T246" s="1054"/>
      <c r="U246" s="1054"/>
      <c r="V246" s="1054"/>
      <c r="W246" s="1054"/>
      <c r="X246" s="1054"/>
      <c r="Y246" s="1054"/>
    </row>
    <row r="247" spans="1:25">
      <c r="A247" s="1053"/>
      <c r="B247" s="1053"/>
      <c r="C247" s="1053"/>
      <c r="D247" s="1053"/>
      <c r="E247" s="1053"/>
      <c r="P247" s="1001"/>
      <c r="R247" s="1054"/>
      <c r="S247" s="1054"/>
      <c r="T247" s="1054"/>
      <c r="U247" s="1054"/>
      <c r="V247" s="1054"/>
      <c r="W247" s="1054"/>
      <c r="X247" s="1054"/>
      <c r="Y247" s="1054"/>
    </row>
    <row r="248" spans="1:25">
      <c r="A248" s="1053"/>
      <c r="B248" s="1053"/>
      <c r="C248" s="1053"/>
      <c r="D248" s="1053"/>
      <c r="E248" s="1053"/>
      <c r="P248" s="1001"/>
      <c r="R248" s="1054"/>
      <c r="S248" s="1054"/>
      <c r="T248" s="1054"/>
      <c r="U248" s="1054"/>
      <c r="V248" s="1054"/>
      <c r="W248" s="1054"/>
      <c r="X248" s="1054"/>
      <c r="Y248" s="1054"/>
    </row>
    <row r="249" spans="1:25">
      <c r="A249" s="1053"/>
      <c r="B249" s="1053"/>
      <c r="C249" s="1053"/>
      <c r="D249" s="1053"/>
      <c r="E249" s="1053"/>
      <c r="P249" s="1001"/>
      <c r="R249" s="1054"/>
      <c r="S249" s="1054"/>
      <c r="T249" s="1054"/>
      <c r="U249" s="1054"/>
      <c r="V249" s="1054"/>
      <c r="W249" s="1054"/>
      <c r="X249" s="1054"/>
      <c r="Y249" s="1054"/>
    </row>
    <row r="250" spans="1:25">
      <c r="A250" s="1053"/>
      <c r="B250" s="1053"/>
      <c r="C250" s="1053"/>
      <c r="D250" s="1053"/>
      <c r="E250" s="1053"/>
      <c r="P250" s="1001"/>
      <c r="R250" s="1054"/>
      <c r="S250" s="1054"/>
      <c r="T250" s="1054"/>
      <c r="U250" s="1054"/>
      <c r="V250" s="1054"/>
      <c r="W250" s="1054"/>
      <c r="X250" s="1054"/>
      <c r="Y250" s="1054"/>
    </row>
    <row r="251" spans="1:25">
      <c r="A251" s="1053"/>
      <c r="B251" s="1053"/>
      <c r="C251" s="1053"/>
      <c r="D251" s="1053"/>
      <c r="E251" s="1053"/>
      <c r="P251" s="1001"/>
      <c r="R251" s="1054"/>
      <c r="S251" s="1054"/>
      <c r="T251" s="1054"/>
      <c r="U251" s="1054"/>
      <c r="V251" s="1054"/>
      <c r="W251" s="1054"/>
      <c r="X251" s="1054"/>
      <c r="Y251" s="1054"/>
    </row>
    <row r="252" spans="1:25">
      <c r="A252" s="1053"/>
      <c r="B252" s="1053"/>
      <c r="C252" s="1053"/>
      <c r="D252" s="1053"/>
      <c r="E252" s="1053"/>
      <c r="P252" s="1001"/>
      <c r="R252" s="1054"/>
      <c r="S252" s="1054"/>
      <c r="T252" s="1054"/>
      <c r="U252" s="1054"/>
      <c r="V252" s="1054"/>
      <c r="W252" s="1054"/>
      <c r="X252" s="1054"/>
      <c r="Y252" s="1054"/>
    </row>
    <row r="253" spans="1:25">
      <c r="A253" s="1053"/>
      <c r="B253" s="1053"/>
      <c r="C253" s="1053"/>
      <c r="D253" s="1053"/>
      <c r="E253" s="1053"/>
      <c r="P253" s="1001"/>
      <c r="R253" s="1054"/>
      <c r="S253" s="1054"/>
      <c r="T253" s="1054"/>
      <c r="U253" s="1054"/>
      <c r="V253" s="1054"/>
      <c r="W253" s="1054"/>
      <c r="X253" s="1054"/>
      <c r="Y253" s="1054"/>
    </row>
    <row r="254" spans="1:25">
      <c r="A254" s="1053"/>
      <c r="B254" s="1053"/>
      <c r="C254" s="1053"/>
      <c r="D254" s="1053"/>
      <c r="E254" s="1053"/>
      <c r="P254" s="1001"/>
      <c r="R254" s="1054"/>
      <c r="S254" s="1054"/>
      <c r="T254" s="1054"/>
      <c r="U254" s="1054"/>
      <c r="V254" s="1054"/>
      <c r="W254" s="1054"/>
      <c r="X254" s="1054"/>
      <c r="Y254" s="1054"/>
    </row>
    <row r="255" spans="1:25">
      <c r="A255" s="1053"/>
      <c r="B255" s="1053"/>
      <c r="C255" s="1053"/>
      <c r="D255" s="1053"/>
      <c r="E255" s="1053"/>
      <c r="P255" s="1001"/>
      <c r="R255" s="1054"/>
      <c r="S255" s="1054"/>
      <c r="T255" s="1054"/>
      <c r="U255" s="1054"/>
      <c r="V255" s="1054"/>
      <c r="W255" s="1054"/>
      <c r="X255" s="1054"/>
      <c r="Y255" s="1054"/>
    </row>
    <row r="256" spans="1:25">
      <c r="A256" s="1053"/>
      <c r="B256" s="1053"/>
      <c r="C256" s="1053"/>
      <c r="D256" s="1053"/>
      <c r="E256" s="1053"/>
      <c r="P256" s="1001"/>
      <c r="R256" s="1054"/>
      <c r="S256" s="1054"/>
      <c r="T256" s="1054"/>
      <c r="U256" s="1054"/>
      <c r="V256" s="1054"/>
      <c r="W256" s="1054"/>
      <c r="X256" s="1054"/>
      <c r="Y256" s="1054"/>
    </row>
    <row r="257" spans="1:25">
      <c r="A257" s="1053"/>
      <c r="B257" s="1053"/>
      <c r="C257" s="1053"/>
      <c r="D257" s="1053"/>
      <c r="E257" s="1053"/>
      <c r="P257" s="1001"/>
      <c r="R257" s="1054"/>
      <c r="S257" s="1054"/>
      <c r="T257" s="1054"/>
      <c r="U257" s="1054"/>
      <c r="V257" s="1054"/>
      <c r="W257" s="1054"/>
      <c r="X257" s="1054"/>
      <c r="Y257" s="1054"/>
    </row>
    <row r="258" spans="1:25">
      <c r="A258" s="1053"/>
      <c r="B258" s="1053"/>
      <c r="C258" s="1053"/>
      <c r="D258" s="1053"/>
      <c r="E258" s="1053"/>
      <c r="P258" s="1001"/>
      <c r="R258" s="1054"/>
      <c r="S258" s="1054"/>
      <c r="T258" s="1054"/>
      <c r="U258" s="1054"/>
      <c r="V258" s="1054"/>
      <c r="W258" s="1054"/>
      <c r="X258" s="1054"/>
      <c r="Y258" s="1054"/>
    </row>
    <row r="259" spans="1:25">
      <c r="A259" s="1053"/>
      <c r="B259" s="1053"/>
      <c r="C259" s="1053"/>
      <c r="D259" s="1053"/>
      <c r="E259" s="1053"/>
      <c r="P259" s="1001"/>
      <c r="R259" s="1054"/>
      <c r="S259" s="1054"/>
      <c r="T259" s="1054"/>
      <c r="U259" s="1054"/>
      <c r="V259" s="1054"/>
      <c r="W259" s="1054"/>
      <c r="X259" s="1054"/>
      <c r="Y259" s="1054"/>
    </row>
    <row r="260" spans="1:25">
      <c r="A260" s="1053"/>
      <c r="B260" s="1053"/>
      <c r="C260" s="1053"/>
      <c r="D260" s="1053"/>
      <c r="E260" s="1053"/>
      <c r="P260" s="1001"/>
      <c r="R260" s="1054"/>
      <c r="S260" s="1054"/>
      <c r="T260" s="1054"/>
      <c r="U260" s="1054"/>
      <c r="V260" s="1054"/>
      <c r="W260" s="1054"/>
      <c r="X260" s="1054"/>
      <c r="Y260" s="1054"/>
    </row>
    <row r="261" spans="1:25">
      <c r="A261" s="1053"/>
      <c r="B261" s="1053"/>
      <c r="C261" s="1053"/>
      <c r="D261" s="1053"/>
      <c r="E261" s="1053"/>
      <c r="P261" s="1001"/>
      <c r="R261" s="1054"/>
      <c r="S261" s="1054"/>
      <c r="T261" s="1054"/>
      <c r="U261" s="1054"/>
      <c r="V261" s="1054"/>
      <c r="W261" s="1054"/>
      <c r="X261" s="1054"/>
      <c r="Y261" s="1054"/>
    </row>
    <row r="262" spans="1:25">
      <c r="A262" s="1053"/>
      <c r="B262" s="1053"/>
      <c r="C262" s="1053"/>
      <c r="D262" s="1053"/>
      <c r="E262" s="1053"/>
      <c r="P262" s="1001"/>
      <c r="R262" s="1054"/>
      <c r="S262" s="1054"/>
      <c r="T262" s="1054"/>
      <c r="U262" s="1054"/>
      <c r="V262" s="1054"/>
      <c r="W262" s="1054"/>
      <c r="X262" s="1054"/>
      <c r="Y262" s="1054"/>
    </row>
    <row r="263" spans="1:25">
      <c r="A263" s="1053"/>
      <c r="B263" s="1053"/>
      <c r="C263" s="1053"/>
      <c r="D263" s="1053"/>
      <c r="E263" s="1053"/>
      <c r="P263" s="1001"/>
      <c r="R263" s="1054"/>
      <c r="S263" s="1054"/>
      <c r="T263" s="1054"/>
      <c r="U263" s="1054"/>
      <c r="V263" s="1054"/>
      <c r="W263" s="1054"/>
      <c r="X263" s="1054"/>
      <c r="Y263" s="1054"/>
    </row>
    <row r="264" spans="1:25">
      <c r="A264" s="1053"/>
      <c r="B264" s="1053"/>
      <c r="C264" s="1053"/>
      <c r="D264" s="1053"/>
      <c r="E264" s="1053"/>
      <c r="P264" s="1001"/>
      <c r="R264" s="1054"/>
      <c r="S264" s="1054"/>
      <c r="T264" s="1054"/>
      <c r="U264" s="1054"/>
      <c r="V264" s="1054"/>
      <c r="W264" s="1054"/>
      <c r="X264" s="1054"/>
      <c r="Y264" s="1054"/>
    </row>
    <row r="265" spans="1:25">
      <c r="A265" s="1053"/>
      <c r="B265" s="1053"/>
      <c r="C265" s="1053"/>
      <c r="D265" s="1053"/>
      <c r="E265" s="1053"/>
      <c r="P265" s="1001"/>
      <c r="R265" s="1054"/>
      <c r="S265" s="1054"/>
      <c r="T265" s="1054"/>
      <c r="U265" s="1054"/>
      <c r="V265" s="1054"/>
      <c r="W265" s="1054"/>
      <c r="X265" s="1054"/>
      <c r="Y265" s="1054"/>
    </row>
    <row r="266" spans="1:25">
      <c r="A266" s="1053"/>
      <c r="B266" s="1053"/>
      <c r="C266" s="1053"/>
      <c r="D266" s="1053"/>
      <c r="E266" s="1053"/>
      <c r="P266" s="1001"/>
      <c r="R266" s="1054"/>
      <c r="S266" s="1054"/>
      <c r="T266" s="1054"/>
      <c r="U266" s="1054"/>
      <c r="V266" s="1054"/>
      <c r="W266" s="1054"/>
      <c r="X266" s="1054"/>
      <c r="Y266" s="1054"/>
    </row>
    <row r="267" spans="1:25">
      <c r="A267" s="1053"/>
      <c r="B267" s="1053"/>
      <c r="C267" s="1053"/>
      <c r="D267" s="1053"/>
      <c r="E267" s="1053"/>
      <c r="P267" s="1001"/>
      <c r="R267" s="1054"/>
      <c r="S267" s="1054"/>
      <c r="T267" s="1054"/>
      <c r="U267" s="1054"/>
      <c r="V267" s="1054"/>
      <c r="W267" s="1054"/>
      <c r="X267" s="1054"/>
      <c r="Y267" s="1054"/>
    </row>
    <row r="268" spans="1:25">
      <c r="A268" s="1053"/>
      <c r="B268" s="1053"/>
      <c r="C268" s="1053"/>
      <c r="D268" s="1053"/>
      <c r="E268" s="1053"/>
      <c r="P268" s="1001"/>
      <c r="R268" s="1054"/>
      <c r="S268" s="1054"/>
      <c r="T268" s="1054"/>
      <c r="U268" s="1054"/>
      <c r="V268" s="1054"/>
      <c r="W268" s="1054"/>
      <c r="X268" s="1054"/>
      <c r="Y268" s="1054"/>
    </row>
    <row r="269" spans="1:25">
      <c r="A269" s="1053"/>
      <c r="B269" s="1053"/>
      <c r="C269" s="1053"/>
      <c r="D269" s="1053"/>
      <c r="E269" s="1053"/>
      <c r="P269" s="1001"/>
      <c r="R269" s="1054"/>
      <c r="S269" s="1054"/>
      <c r="T269" s="1054"/>
      <c r="U269" s="1054"/>
      <c r="V269" s="1054"/>
      <c r="W269" s="1054"/>
      <c r="X269" s="1054"/>
      <c r="Y269" s="1054"/>
    </row>
    <row r="270" spans="1:25">
      <c r="A270" s="1053"/>
      <c r="B270" s="1053"/>
      <c r="C270" s="1053"/>
      <c r="D270" s="1053"/>
      <c r="E270" s="1053"/>
      <c r="P270" s="1001"/>
      <c r="R270" s="1054"/>
      <c r="S270" s="1054"/>
      <c r="T270" s="1054"/>
      <c r="U270" s="1054"/>
      <c r="V270" s="1054"/>
      <c r="W270" s="1054"/>
      <c r="X270" s="1054"/>
      <c r="Y270" s="1054"/>
    </row>
    <row r="271" spans="1:25">
      <c r="A271" s="1053"/>
      <c r="B271" s="1053"/>
      <c r="C271" s="1053"/>
      <c r="D271" s="1053"/>
      <c r="E271" s="1053"/>
      <c r="P271" s="1001"/>
      <c r="R271" s="1054"/>
      <c r="S271" s="1054"/>
      <c r="T271" s="1054"/>
      <c r="U271" s="1054"/>
      <c r="V271" s="1054"/>
      <c r="W271" s="1054"/>
      <c r="X271" s="1054"/>
      <c r="Y271" s="1054"/>
    </row>
    <row r="272" spans="1:25">
      <c r="A272" s="1053"/>
      <c r="B272" s="1053"/>
      <c r="C272" s="1053"/>
      <c r="D272" s="1053"/>
      <c r="E272" s="1053"/>
      <c r="P272" s="1001"/>
      <c r="R272" s="1054"/>
      <c r="S272" s="1054"/>
      <c r="T272" s="1054"/>
      <c r="U272" s="1054"/>
      <c r="V272" s="1054"/>
      <c r="W272" s="1054"/>
      <c r="X272" s="1054"/>
      <c r="Y272" s="1054"/>
    </row>
    <row r="273" spans="1:25">
      <c r="A273" s="1053"/>
      <c r="B273" s="1053"/>
      <c r="C273" s="1053"/>
      <c r="D273" s="1053"/>
      <c r="E273" s="1053"/>
      <c r="P273" s="1001"/>
      <c r="R273" s="1054"/>
      <c r="S273" s="1054"/>
      <c r="T273" s="1054"/>
      <c r="U273" s="1054"/>
      <c r="V273" s="1054"/>
      <c r="W273" s="1054"/>
      <c r="X273" s="1054"/>
      <c r="Y273" s="1054"/>
    </row>
    <row r="274" spans="1:25">
      <c r="A274" s="1053"/>
      <c r="B274" s="1053"/>
      <c r="C274" s="1053"/>
      <c r="D274" s="1053"/>
      <c r="E274" s="1053"/>
      <c r="P274" s="1001"/>
      <c r="R274" s="1054"/>
      <c r="S274" s="1054"/>
      <c r="T274" s="1054"/>
      <c r="U274" s="1054"/>
      <c r="V274" s="1054"/>
      <c r="W274" s="1054"/>
      <c r="X274" s="1054"/>
      <c r="Y274" s="1054"/>
    </row>
    <row r="275" spans="1:25">
      <c r="A275" s="1053"/>
      <c r="B275" s="1053"/>
      <c r="C275" s="1053"/>
      <c r="D275" s="1053"/>
      <c r="E275" s="1053"/>
      <c r="P275" s="1001"/>
      <c r="R275" s="1054"/>
      <c r="S275" s="1054"/>
      <c r="T275" s="1054"/>
      <c r="U275" s="1054"/>
      <c r="V275" s="1054"/>
      <c r="W275" s="1054"/>
      <c r="X275" s="1054"/>
      <c r="Y275" s="1054"/>
    </row>
    <row r="276" spans="1:25">
      <c r="A276" s="1053"/>
      <c r="B276" s="1053"/>
      <c r="C276" s="1053"/>
      <c r="D276" s="1053"/>
      <c r="E276" s="1053"/>
      <c r="P276" s="1001"/>
      <c r="R276" s="1054"/>
      <c r="S276" s="1054"/>
      <c r="T276" s="1054"/>
      <c r="U276" s="1054"/>
      <c r="V276" s="1054"/>
      <c r="W276" s="1054"/>
      <c r="X276" s="1054"/>
      <c r="Y276" s="1054"/>
    </row>
    <row r="277" spans="1:25">
      <c r="A277" s="1053"/>
      <c r="B277" s="1053"/>
      <c r="C277" s="1053"/>
      <c r="D277" s="1053"/>
      <c r="E277" s="1053"/>
      <c r="P277" s="1001"/>
      <c r="R277" s="1054"/>
      <c r="S277" s="1054"/>
      <c r="T277" s="1054"/>
      <c r="U277" s="1054"/>
      <c r="V277" s="1054"/>
      <c r="W277" s="1054"/>
      <c r="X277" s="1054"/>
      <c r="Y277" s="1054"/>
    </row>
    <row r="278" spans="1:25">
      <c r="A278" s="1053"/>
      <c r="B278" s="1053"/>
      <c r="C278" s="1053"/>
      <c r="D278" s="1053"/>
      <c r="E278" s="1053"/>
      <c r="P278" s="1001"/>
      <c r="R278" s="1054"/>
      <c r="S278" s="1054"/>
      <c r="T278" s="1054"/>
      <c r="U278" s="1054"/>
      <c r="V278" s="1054"/>
      <c r="W278" s="1054"/>
      <c r="X278" s="1054"/>
      <c r="Y278" s="1054"/>
    </row>
    <row r="279" spans="1:25">
      <c r="A279" s="1053"/>
      <c r="B279" s="1053"/>
      <c r="C279" s="1053"/>
      <c r="D279" s="1053"/>
      <c r="E279" s="1053"/>
      <c r="P279" s="1001"/>
      <c r="R279" s="1054"/>
      <c r="S279" s="1054"/>
      <c r="T279" s="1054"/>
      <c r="U279" s="1054"/>
      <c r="V279" s="1054"/>
      <c r="W279" s="1054"/>
      <c r="X279" s="1054"/>
      <c r="Y279" s="1054"/>
    </row>
    <row r="280" spans="1:25">
      <c r="A280" s="1053"/>
      <c r="B280" s="1053"/>
      <c r="C280" s="1053"/>
      <c r="D280" s="1053"/>
      <c r="E280" s="1053"/>
      <c r="P280" s="1001"/>
      <c r="R280" s="1054"/>
      <c r="S280" s="1054"/>
      <c r="T280" s="1054"/>
      <c r="U280" s="1054"/>
      <c r="V280" s="1054"/>
      <c r="W280" s="1054"/>
      <c r="X280" s="1054"/>
      <c r="Y280" s="1054"/>
    </row>
    <row r="281" spans="1:25">
      <c r="A281" s="1053"/>
      <c r="B281" s="1053"/>
      <c r="C281" s="1053"/>
      <c r="D281" s="1053"/>
      <c r="E281" s="1053"/>
      <c r="P281" s="1001"/>
      <c r="R281" s="1054"/>
      <c r="S281" s="1054"/>
      <c r="T281" s="1054"/>
      <c r="U281" s="1054"/>
      <c r="V281" s="1054"/>
      <c r="W281" s="1054"/>
      <c r="X281" s="1054"/>
      <c r="Y281" s="1054"/>
    </row>
    <row r="282" spans="1:25">
      <c r="A282" s="1053"/>
      <c r="B282" s="1053"/>
      <c r="C282" s="1053"/>
      <c r="D282" s="1053"/>
      <c r="E282" s="1053"/>
      <c r="P282" s="1001"/>
      <c r="R282" s="1054"/>
      <c r="S282" s="1054"/>
      <c r="T282" s="1054"/>
      <c r="U282" s="1054"/>
      <c r="V282" s="1054"/>
      <c r="W282" s="1054"/>
      <c r="X282" s="1054"/>
      <c r="Y282" s="1054"/>
    </row>
    <row r="283" spans="1:25">
      <c r="A283" s="1053"/>
      <c r="B283" s="1053"/>
      <c r="C283" s="1053"/>
      <c r="D283" s="1053"/>
      <c r="E283" s="1053"/>
      <c r="P283" s="1001"/>
      <c r="R283" s="1054"/>
      <c r="S283" s="1054"/>
      <c r="T283" s="1054"/>
      <c r="U283" s="1054"/>
      <c r="V283" s="1054"/>
      <c r="W283" s="1054"/>
      <c r="X283" s="1054"/>
      <c r="Y283" s="1054"/>
    </row>
    <row r="284" spans="1:25">
      <c r="A284" s="1053"/>
      <c r="B284" s="1053"/>
      <c r="C284" s="1053"/>
      <c r="D284" s="1053"/>
      <c r="E284" s="1053"/>
      <c r="P284" s="1001"/>
      <c r="R284" s="1054"/>
      <c r="S284" s="1054"/>
      <c r="T284" s="1054"/>
      <c r="U284" s="1054"/>
      <c r="V284" s="1054"/>
      <c r="W284" s="1054"/>
      <c r="X284" s="1054"/>
      <c r="Y284" s="1054"/>
    </row>
    <row r="285" spans="1:25">
      <c r="A285" s="1053"/>
      <c r="B285" s="1053"/>
      <c r="C285" s="1053"/>
      <c r="D285" s="1053"/>
      <c r="E285" s="1053"/>
      <c r="P285" s="1001"/>
      <c r="R285" s="1054"/>
      <c r="S285" s="1054"/>
      <c r="T285" s="1054"/>
      <c r="U285" s="1054"/>
      <c r="V285" s="1054"/>
      <c r="W285" s="1054"/>
      <c r="X285" s="1054"/>
      <c r="Y285" s="1054"/>
    </row>
    <row r="286" spans="1:25">
      <c r="A286" s="1053"/>
      <c r="B286" s="1053"/>
      <c r="C286" s="1053"/>
      <c r="D286" s="1053"/>
      <c r="E286" s="1053"/>
      <c r="P286" s="1001"/>
      <c r="R286" s="1054"/>
      <c r="S286" s="1054"/>
      <c r="T286" s="1054"/>
      <c r="U286" s="1054"/>
      <c r="V286" s="1054"/>
      <c r="W286" s="1054"/>
      <c r="X286" s="1054"/>
      <c r="Y286" s="1054"/>
    </row>
    <row r="287" spans="1:25">
      <c r="A287" s="1053"/>
      <c r="B287" s="1053"/>
      <c r="C287" s="1053"/>
      <c r="D287" s="1053"/>
      <c r="E287" s="1053"/>
      <c r="R287" s="1054"/>
      <c r="S287" s="1054"/>
      <c r="T287" s="1054"/>
      <c r="U287" s="1054"/>
      <c r="V287" s="1054"/>
      <c r="W287" s="1054"/>
      <c r="X287" s="1054"/>
      <c r="Y287" s="1054"/>
    </row>
    <row r="288" spans="1:25">
      <c r="A288" s="1053"/>
      <c r="B288" s="1053"/>
      <c r="C288" s="1053"/>
      <c r="D288" s="1053"/>
      <c r="E288" s="1053"/>
      <c r="R288" s="1054"/>
      <c r="S288" s="1054"/>
      <c r="T288" s="1054"/>
      <c r="U288" s="1054"/>
      <c r="V288" s="1054"/>
      <c r="W288" s="1054"/>
      <c r="X288" s="1054"/>
      <c r="Y288" s="1054"/>
    </row>
    <row r="289" spans="1:25">
      <c r="A289" s="1053"/>
      <c r="B289" s="1053"/>
      <c r="C289" s="1053"/>
      <c r="D289" s="1053"/>
      <c r="E289" s="1053"/>
      <c r="R289" s="1054"/>
      <c r="S289" s="1054"/>
      <c r="T289" s="1054"/>
      <c r="U289" s="1054"/>
      <c r="V289" s="1054"/>
      <c r="W289" s="1054"/>
      <c r="X289" s="1054"/>
      <c r="Y289" s="1054"/>
    </row>
    <row r="290" spans="1:25">
      <c r="A290" s="1053"/>
      <c r="B290" s="1053"/>
      <c r="C290" s="1053"/>
      <c r="D290" s="1053"/>
      <c r="E290" s="1053"/>
      <c r="R290" s="1054"/>
      <c r="S290" s="1054"/>
      <c r="T290" s="1054"/>
      <c r="U290" s="1054"/>
      <c r="V290" s="1054"/>
      <c r="W290" s="1054"/>
      <c r="X290" s="1054"/>
      <c r="Y290" s="1054"/>
    </row>
    <row r="291" spans="1:25">
      <c r="A291" s="1053"/>
      <c r="B291" s="1053"/>
      <c r="C291" s="1053"/>
      <c r="D291" s="1053"/>
      <c r="E291" s="1053"/>
      <c r="R291" s="1054"/>
      <c r="S291" s="1054"/>
      <c r="T291" s="1054"/>
      <c r="U291" s="1054"/>
      <c r="V291" s="1054"/>
      <c r="W291" s="1054"/>
      <c r="X291" s="1054"/>
      <c r="Y291" s="1054"/>
    </row>
    <row r="292" spans="1:25">
      <c r="A292" s="1053"/>
      <c r="B292" s="1053"/>
      <c r="C292" s="1053"/>
      <c r="D292" s="1053"/>
      <c r="E292" s="1053"/>
      <c r="R292" s="1054"/>
      <c r="S292" s="1054"/>
      <c r="T292" s="1054"/>
      <c r="U292" s="1054"/>
      <c r="V292" s="1054"/>
      <c r="W292" s="1054"/>
      <c r="X292" s="1054"/>
      <c r="Y292" s="1054"/>
    </row>
    <row r="293" spans="1:25">
      <c r="A293" s="1053"/>
      <c r="B293" s="1053"/>
      <c r="C293" s="1053"/>
      <c r="D293" s="1053"/>
      <c r="E293" s="1053"/>
      <c r="R293" s="1054"/>
      <c r="S293" s="1054"/>
      <c r="T293" s="1054"/>
      <c r="U293" s="1054"/>
      <c r="V293" s="1054"/>
      <c r="W293" s="1054"/>
      <c r="X293" s="1054"/>
      <c r="Y293" s="1054"/>
    </row>
    <row r="294" spans="1:25">
      <c r="A294" s="1053"/>
      <c r="B294" s="1053"/>
      <c r="C294" s="1053"/>
      <c r="D294" s="1053"/>
      <c r="E294" s="1053"/>
      <c r="R294" s="1054"/>
      <c r="S294" s="1054"/>
      <c r="T294" s="1054"/>
      <c r="U294" s="1054"/>
      <c r="V294" s="1054"/>
      <c r="W294" s="1054"/>
      <c r="X294" s="1054"/>
      <c r="Y294" s="1054"/>
    </row>
    <row r="295" spans="1:25">
      <c r="A295" s="1053"/>
      <c r="B295" s="1053"/>
      <c r="C295" s="1053"/>
      <c r="D295" s="1053"/>
      <c r="E295" s="1053"/>
      <c r="R295" s="1054"/>
      <c r="S295" s="1054"/>
      <c r="T295" s="1054"/>
      <c r="U295" s="1054"/>
      <c r="V295" s="1054"/>
      <c r="W295" s="1054"/>
      <c r="X295" s="1054"/>
      <c r="Y295" s="1054"/>
    </row>
    <row r="296" spans="1:25">
      <c r="A296" s="1053"/>
      <c r="B296" s="1053"/>
      <c r="C296" s="1053"/>
      <c r="D296" s="1053"/>
      <c r="E296" s="1053"/>
      <c r="R296" s="1054"/>
      <c r="S296" s="1054"/>
      <c r="T296" s="1054"/>
      <c r="U296" s="1054"/>
      <c r="V296" s="1054"/>
      <c r="W296" s="1054"/>
      <c r="X296" s="1054"/>
      <c r="Y296" s="1054"/>
    </row>
    <row r="297" spans="1:25">
      <c r="A297" s="1053"/>
      <c r="B297" s="1053"/>
      <c r="C297" s="1053"/>
      <c r="D297" s="1053"/>
      <c r="E297" s="1053"/>
      <c r="R297" s="1054"/>
      <c r="S297" s="1054"/>
      <c r="T297" s="1054"/>
      <c r="U297" s="1054"/>
      <c r="V297" s="1054"/>
      <c r="W297" s="1054"/>
      <c r="X297" s="1054"/>
      <c r="Y297" s="1054"/>
    </row>
    <row r="298" spans="1:25">
      <c r="A298" s="1053"/>
      <c r="B298" s="1053"/>
      <c r="C298" s="1053"/>
      <c r="D298" s="1053"/>
      <c r="E298" s="1053"/>
      <c r="R298" s="1054"/>
      <c r="S298" s="1054"/>
      <c r="T298" s="1054"/>
      <c r="U298" s="1054"/>
      <c r="V298" s="1054"/>
      <c r="W298" s="1054"/>
      <c r="X298" s="1054"/>
      <c r="Y298" s="1054"/>
    </row>
    <row r="299" spans="1:25">
      <c r="A299" s="1053"/>
      <c r="B299" s="1053"/>
      <c r="C299" s="1053"/>
      <c r="D299" s="1053"/>
      <c r="E299" s="1053"/>
      <c r="R299" s="1054"/>
      <c r="S299" s="1054"/>
      <c r="T299" s="1054"/>
      <c r="U299" s="1054"/>
      <c r="V299" s="1054"/>
      <c r="W299" s="1054"/>
      <c r="X299" s="1054"/>
      <c r="Y299" s="1054"/>
    </row>
    <row r="300" spans="1:25">
      <c r="A300" s="1053"/>
      <c r="B300" s="1053"/>
      <c r="C300" s="1053"/>
      <c r="D300" s="1053"/>
      <c r="E300" s="1053"/>
      <c r="R300" s="1054"/>
      <c r="S300" s="1054"/>
      <c r="T300" s="1054"/>
      <c r="U300" s="1054"/>
      <c r="V300" s="1054"/>
      <c r="W300" s="1054"/>
      <c r="X300" s="1054"/>
      <c r="Y300" s="1054"/>
    </row>
    <row r="301" spans="1:25">
      <c r="A301" s="1053"/>
      <c r="B301" s="1053"/>
      <c r="C301" s="1053"/>
      <c r="D301" s="1053"/>
      <c r="E301" s="1053"/>
      <c r="P301" s="1056"/>
      <c r="R301" s="1054"/>
      <c r="S301" s="1054"/>
      <c r="T301" s="1054"/>
      <c r="U301" s="1054"/>
      <c r="V301" s="1054"/>
      <c r="W301" s="1054"/>
      <c r="X301" s="1054"/>
      <c r="Y301" s="1054"/>
    </row>
    <row r="302" spans="1:25">
      <c r="A302" s="1053"/>
      <c r="B302" s="1053"/>
      <c r="C302" s="1053"/>
      <c r="D302" s="1053"/>
      <c r="E302" s="1053"/>
      <c r="R302" s="1054"/>
      <c r="S302" s="1054"/>
      <c r="T302" s="1054"/>
      <c r="U302" s="1054"/>
      <c r="V302" s="1054"/>
      <c r="W302" s="1054"/>
      <c r="X302" s="1054"/>
      <c r="Y302" s="1054"/>
    </row>
    <row r="303" spans="1:25">
      <c r="A303" s="1053"/>
      <c r="B303" s="1053"/>
      <c r="C303" s="1053"/>
      <c r="D303" s="1053"/>
      <c r="E303" s="1053"/>
      <c r="R303" s="1054"/>
      <c r="S303" s="1054"/>
      <c r="T303" s="1054"/>
      <c r="U303" s="1054"/>
      <c r="V303" s="1054"/>
      <c r="W303" s="1054"/>
      <c r="X303" s="1054"/>
      <c r="Y303" s="1054"/>
    </row>
    <row r="304" spans="1:25">
      <c r="A304" s="1053"/>
      <c r="B304" s="1053"/>
      <c r="C304" s="1053"/>
      <c r="D304" s="1053"/>
      <c r="E304" s="1053"/>
      <c r="R304" s="1054"/>
      <c r="S304" s="1054"/>
      <c r="T304" s="1054"/>
      <c r="U304" s="1054"/>
      <c r="V304" s="1054"/>
      <c r="W304" s="1054"/>
      <c r="X304" s="1054"/>
      <c r="Y304" s="1054"/>
    </row>
    <row r="305" spans="1:25">
      <c r="A305" s="1053"/>
      <c r="B305" s="1053"/>
      <c r="C305" s="1053"/>
      <c r="D305" s="1053"/>
      <c r="E305" s="1053"/>
      <c r="R305" s="1054"/>
      <c r="S305" s="1054"/>
      <c r="T305" s="1054"/>
      <c r="U305" s="1054"/>
      <c r="V305" s="1054"/>
      <c r="W305" s="1054"/>
      <c r="X305" s="1054"/>
      <c r="Y305" s="1054"/>
    </row>
    <row r="306" spans="1:25">
      <c r="A306" s="1053"/>
      <c r="B306" s="1053"/>
      <c r="C306" s="1053"/>
      <c r="D306" s="1053"/>
      <c r="E306" s="1053"/>
      <c r="R306" s="1054"/>
      <c r="S306" s="1054"/>
      <c r="T306" s="1054"/>
      <c r="U306" s="1054"/>
      <c r="V306" s="1054"/>
      <c r="W306" s="1054"/>
      <c r="X306" s="1054"/>
      <c r="Y306" s="1054"/>
    </row>
    <row r="307" spans="1:25">
      <c r="A307" s="1053"/>
      <c r="B307" s="1053"/>
      <c r="C307" s="1053"/>
      <c r="D307" s="1053"/>
      <c r="E307" s="1053"/>
      <c r="R307" s="1054"/>
      <c r="S307" s="1054"/>
      <c r="T307" s="1054"/>
      <c r="U307" s="1054"/>
      <c r="V307" s="1054"/>
      <c r="W307" s="1054"/>
      <c r="X307" s="1054"/>
      <c r="Y307" s="1054"/>
    </row>
    <row r="308" spans="1:25">
      <c r="A308" s="1053"/>
      <c r="B308" s="1053"/>
      <c r="C308" s="1053"/>
      <c r="D308" s="1053"/>
      <c r="E308" s="1053"/>
      <c r="R308" s="1054"/>
      <c r="S308" s="1054"/>
      <c r="T308" s="1054"/>
      <c r="U308" s="1054"/>
      <c r="V308" s="1054"/>
      <c r="W308" s="1054"/>
      <c r="X308" s="1054"/>
      <c r="Y308" s="1054"/>
    </row>
    <row r="309" spans="1:25">
      <c r="A309" s="1053"/>
      <c r="B309" s="1053"/>
      <c r="C309" s="1053"/>
      <c r="D309" s="1053"/>
      <c r="E309" s="1053"/>
      <c r="R309" s="1054"/>
      <c r="S309" s="1054"/>
      <c r="T309" s="1054"/>
      <c r="U309" s="1054"/>
      <c r="V309" s="1054"/>
      <c r="W309" s="1054"/>
      <c r="X309" s="1054"/>
      <c r="Y309" s="1054"/>
    </row>
    <row r="310" spans="1:25">
      <c r="A310" s="1053"/>
      <c r="B310" s="1053"/>
      <c r="C310" s="1053"/>
      <c r="D310" s="1053"/>
      <c r="E310" s="1053"/>
      <c r="P310" s="1056"/>
      <c r="R310" s="1054"/>
      <c r="S310" s="1054"/>
      <c r="T310" s="1054"/>
      <c r="U310" s="1054"/>
      <c r="V310" s="1054"/>
      <c r="W310" s="1054"/>
      <c r="X310" s="1054"/>
      <c r="Y310" s="1054"/>
    </row>
    <row r="311" spans="1:25">
      <c r="A311" s="1053"/>
      <c r="B311" s="1053"/>
      <c r="C311" s="1053"/>
      <c r="D311" s="1053"/>
      <c r="E311" s="1053"/>
      <c r="R311" s="1054"/>
      <c r="S311" s="1054"/>
      <c r="T311" s="1054"/>
      <c r="U311" s="1054"/>
      <c r="V311" s="1054"/>
      <c r="W311" s="1054"/>
      <c r="X311" s="1054"/>
      <c r="Y311" s="1054"/>
    </row>
    <row r="312" spans="1:25">
      <c r="A312" s="1053"/>
      <c r="B312" s="1053"/>
      <c r="C312" s="1053"/>
      <c r="D312" s="1053"/>
      <c r="E312" s="1053"/>
      <c r="R312" s="1054"/>
      <c r="S312" s="1054"/>
      <c r="T312" s="1054"/>
      <c r="U312" s="1054"/>
      <c r="V312" s="1054"/>
      <c r="W312" s="1054"/>
      <c r="X312" s="1054"/>
      <c r="Y312" s="1054"/>
    </row>
    <row r="313" spans="1:25">
      <c r="A313" s="1053"/>
      <c r="B313" s="1053"/>
      <c r="C313" s="1053"/>
      <c r="D313" s="1053"/>
      <c r="E313" s="1053"/>
      <c r="R313" s="1054"/>
      <c r="S313" s="1054"/>
      <c r="T313" s="1054"/>
      <c r="U313" s="1054"/>
      <c r="V313" s="1054"/>
      <c r="W313" s="1054"/>
      <c r="X313" s="1054"/>
      <c r="Y313" s="1054"/>
    </row>
    <row r="314" spans="1:25">
      <c r="A314" s="1053"/>
      <c r="B314" s="1053"/>
      <c r="C314" s="1053"/>
      <c r="D314" s="1053"/>
      <c r="E314" s="1053"/>
      <c r="R314" s="1054"/>
      <c r="S314" s="1054"/>
      <c r="T314" s="1054"/>
      <c r="U314" s="1054"/>
      <c r="V314" s="1054"/>
      <c r="W314" s="1054"/>
      <c r="X314" s="1054"/>
      <c r="Y314" s="1054"/>
    </row>
    <row r="315" spans="1:25">
      <c r="A315" s="1053"/>
      <c r="B315" s="1053"/>
      <c r="C315" s="1053"/>
      <c r="D315" s="1053"/>
      <c r="E315" s="1053"/>
      <c r="R315" s="1054"/>
      <c r="S315" s="1054"/>
      <c r="T315" s="1054"/>
      <c r="U315" s="1054"/>
      <c r="V315" s="1054"/>
      <c r="W315" s="1054"/>
      <c r="X315" s="1054"/>
      <c r="Y315" s="1054"/>
    </row>
    <row r="316" spans="1:25">
      <c r="A316" s="1053"/>
      <c r="B316" s="1053"/>
      <c r="C316" s="1053"/>
      <c r="D316" s="1053"/>
      <c r="E316" s="1053"/>
      <c r="R316" s="1054"/>
      <c r="S316" s="1054"/>
      <c r="T316" s="1054"/>
      <c r="U316" s="1054"/>
      <c r="V316" s="1054"/>
      <c r="W316" s="1054"/>
      <c r="X316" s="1054"/>
      <c r="Y316" s="1054"/>
    </row>
    <row r="317" spans="1:25">
      <c r="A317" s="1053"/>
      <c r="B317" s="1053"/>
      <c r="C317" s="1053"/>
      <c r="D317" s="1053"/>
      <c r="E317" s="1053"/>
      <c r="R317" s="1054"/>
      <c r="S317" s="1054"/>
      <c r="T317" s="1054"/>
      <c r="U317" s="1054"/>
      <c r="V317" s="1054"/>
      <c r="W317" s="1054"/>
      <c r="X317" s="1054"/>
      <c r="Y317" s="1054"/>
    </row>
    <row r="318" spans="1:25">
      <c r="A318" s="1053"/>
      <c r="B318" s="1053"/>
      <c r="C318" s="1053"/>
      <c r="D318" s="1053"/>
      <c r="E318" s="1053"/>
      <c r="R318" s="1054"/>
      <c r="S318" s="1054"/>
      <c r="T318" s="1054"/>
      <c r="U318" s="1054"/>
      <c r="V318" s="1054"/>
      <c r="W318" s="1054"/>
      <c r="X318" s="1054"/>
      <c r="Y318" s="1054"/>
    </row>
    <row r="319" spans="1:25">
      <c r="A319" s="1053"/>
      <c r="B319" s="1053"/>
      <c r="C319" s="1053"/>
      <c r="D319" s="1053"/>
      <c r="E319" s="1053"/>
      <c r="R319" s="1054"/>
      <c r="S319" s="1054"/>
      <c r="T319" s="1054"/>
      <c r="U319" s="1054"/>
      <c r="V319" s="1054"/>
      <c r="W319" s="1054"/>
      <c r="X319" s="1054"/>
      <c r="Y319" s="1054"/>
    </row>
    <row r="320" spans="1:25">
      <c r="A320" s="1053"/>
      <c r="B320" s="1053"/>
      <c r="C320" s="1053"/>
      <c r="D320" s="1053"/>
      <c r="E320" s="1053"/>
      <c r="R320" s="1054"/>
      <c r="S320" s="1054"/>
      <c r="T320" s="1054"/>
      <c r="U320" s="1054"/>
      <c r="V320" s="1054"/>
      <c r="W320" s="1054"/>
      <c r="X320" s="1054"/>
      <c r="Y320" s="1054"/>
    </row>
    <row r="321" spans="1:25">
      <c r="A321" s="1053"/>
      <c r="B321" s="1053"/>
      <c r="C321" s="1053"/>
      <c r="D321" s="1053"/>
      <c r="E321" s="1053"/>
      <c r="R321" s="1054"/>
      <c r="S321" s="1054"/>
      <c r="T321" s="1054"/>
      <c r="U321" s="1054"/>
      <c r="V321" s="1054"/>
      <c r="W321" s="1054"/>
      <c r="X321" s="1054"/>
      <c r="Y321" s="1054"/>
    </row>
    <row r="322" spans="1:25">
      <c r="A322" s="1053"/>
      <c r="B322" s="1053"/>
      <c r="C322" s="1053"/>
      <c r="D322" s="1053"/>
      <c r="E322" s="1053"/>
      <c r="R322" s="1054"/>
      <c r="S322" s="1054"/>
      <c r="T322" s="1054"/>
      <c r="U322" s="1054"/>
      <c r="V322" s="1054"/>
      <c r="W322" s="1054"/>
      <c r="X322" s="1054"/>
      <c r="Y322" s="1054"/>
    </row>
    <row r="323" spans="1:25">
      <c r="A323" s="1053"/>
      <c r="B323" s="1053"/>
      <c r="C323" s="1053"/>
      <c r="D323" s="1053"/>
      <c r="E323" s="1053"/>
      <c r="R323" s="1054"/>
      <c r="S323" s="1054"/>
      <c r="T323" s="1054"/>
      <c r="U323" s="1054"/>
      <c r="V323" s="1054"/>
      <c r="W323" s="1054"/>
      <c r="X323" s="1054"/>
      <c r="Y323" s="1054"/>
    </row>
    <row r="324" spans="1:25">
      <c r="A324" s="1053"/>
      <c r="B324" s="1053"/>
      <c r="C324" s="1053"/>
      <c r="D324" s="1053"/>
      <c r="E324" s="1053"/>
      <c r="R324" s="1054"/>
      <c r="S324" s="1054"/>
      <c r="T324" s="1054"/>
      <c r="U324" s="1054"/>
      <c r="V324" s="1054"/>
      <c r="W324" s="1054"/>
      <c r="X324" s="1054"/>
      <c r="Y324" s="1054"/>
    </row>
    <row r="325" spans="1:25">
      <c r="A325" s="1053"/>
      <c r="B325" s="1053"/>
      <c r="C325" s="1053"/>
      <c r="D325" s="1053"/>
      <c r="E325" s="1053"/>
      <c r="R325" s="1054"/>
      <c r="S325" s="1054"/>
      <c r="T325" s="1054"/>
      <c r="U325" s="1054"/>
      <c r="V325" s="1054"/>
      <c r="W325" s="1054"/>
      <c r="X325" s="1054"/>
      <c r="Y325" s="1054"/>
    </row>
    <row r="326" spans="1:25">
      <c r="A326" s="1053"/>
      <c r="B326" s="1053"/>
      <c r="C326" s="1053"/>
      <c r="D326" s="1053"/>
      <c r="E326" s="1053"/>
      <c r="R326" s="1054"/>
      <c r="S326" s="1054"/>
      <c r="T326" s="1054"/>
      <c r="U326" s="1054"/>
      <c r="V326" s="1054"/>
      <c r="W326" s="1054"/>
      <c r="X326" s="1054"/>
      <c r="Y326" s="1054"/>
    </row>
    <row r="327" spans="1:25">
      <c r="A327" s="1053"/>
      <c r="B327" s="1053"/>
      <c r="C327" s="1053"/>
      <c r="D327" s="1053"/>
      <c r="E327" s="1053"/>
      <c r="R327" s="1054"/>
      <c r="S327" s="1054"/>
      <c r="T327" s="1054"/>
      <c r="U327" s="1054"/>
      <c r="V327" s="1054"/>
      <c r="W327" s="1054"/>
      <c r="X327" s="1054"/>
      <c r="Y327" s="1054"/>
    </row>
    <row r="328" spans="1:25">
      <c r="A328" s="1053"/>
      <c r="B328" s="1053"/>
      <c r="C328" s="1053"/>
      <c r="D328" s="1053"/>
      <c r="E328" s="1053"/>
      <c r="R328" s="1054"/>
      <c r="S328" s="1054"/>
      <c r="T328" s="1054"/>
      <c r="U328" s="1054"/>
      <c r="V328" s="1054"/>
      <c r="W328" s="1054"/>
      <c r="X328" s="1054"/>
      <c r="Y328" s="1054"/>
    </row>
    <row r="329" spans="1:25">
      <c r="A329" s="1053"/>
      <c r="B329" s="1053"/>
      <c r="C329" s="1053"/>
      <c r="D329" s="1053"/>
      <c r="E329" s="1053"/>
      <c r="P329" s="1056"/>
      <c r="R329" s="1054"/>
      <c r="S329" s="1054"/>
      <c r="T329" s="1054"/>
      <c r="U329" s="1054"/>
      <c r="V329" s="1054"/>
      <c r="W329" s="1054"/>
      <c r="X329" s="1054"/>
      <c r="Y329" s="1054"/>
    </row>
    <row r="330" spans="1:25">
      <c r="A330" s="1053"/>
      <c r="B330" s="1053"/>
      <c r="C330" s="1053"/>
      <c r="D330" s="1053"/>
      <c r="E330" s="1053"/>
      <c r="R330" s="1054"/>
      <c r="S330" s="1054"/>
      <c r="T330" s="1054"/>
      <c r="U330" s="1054"/>
      <c r="V330" s="1054"/>
      <c r="W330" s="1054"/>
      <c r="X330" s="1054"/>
      <c r="Y330" s="1054"/>
    </row>
    <row r="331" spans="1:25">
      <c r="A331" s="1053"/>
      <c r="B331" s="1053"/>
      <c r="C331" s="1053"/>
      <c r="D331" s="1053"/>
      <c r="E331" s="1053"/>
      <c r="R331" s="1054"/>
      <c r="S331" s="1054"/>
      <c r="T331" s="1054"/>
      <c r="U331" s="1054"/>
      <c r="V331" s="1054"/>
      <c r="W331" s="1054"/>
      <c r="X331" s="1054"/>
      <c r="Y331" s="1054"/>
    </row>
    <row r="332" spans="1:25">
      <c r="A332" s="1053"/>
      <c r="B332" s="1053"/>
      <c r="C332" s="1053"/>
      <c r="D332" s="1053"/>
      <c r="E332" s="1053"/>
      <c r="R332" s="1054"/>
      <c r="S332" s="1054"/>
      <c r="T332" s="1054"/>
      <c r="U332" s="1054"/>
      <c r="V332" s="1054"/>
      <c r="W332" s="1054"/>
      <c r="X332" s="1054"/>
      <c r="Y332" s="1054"/>
    </row>
    <row r="333" spans="1:25">
      <c r="A333" s="1053"/>
      <c r="B333" s="1053"/>
      <c r="C333" s="1053"/>
      <c r="D333" s="1053"/>
      <c r="E333" s="1053"/>
      <c r="P333" s="1056"/>
      <c r="R333" s="1054"/>
      <c r="S333" s="1054"/>
      <c r="T333" s="1054"/>
      <c r="U333" s="1054"/>
      <c r="V333" s="1054"/>
      <c r="W333" s="1054"/>
      <c r="X333" s="1054"/>
      <c r="Y333" s="1054"/>
    </row>
    <row r="334" spans="1:25">
      <c r="A334" s="1053"/>
      <c r="B334" s="1053"/>
      <c r="C334" s="1053"/>
      <c r="D334" s="1053"/>
      <c r="E334" s="1053"/>
      <c r="R334" s="1054"/>
      <c r="S334" s="1054"/>
      <c r="T334" s="1054"/>
      <c r="U334" s="1054"/>
      <c r="V334" s="1054"/>
      <c r="W334" s="1054"/>
      <c r="X334" s="1054"/>
      <c r="Y334" s="1054"/>
    </row>
    <row r="335" spans="1:25">
      <c r="A335" s="1053"/>
      <c r="B335" s="1053"/>
      <c r="C335" s="1053"/>
      <c r="D335" s="1053"/>
      <c r="E335" s="1053"/>
      <c r="R335" s="1054"/>
      <c r="S335" s="1054"/>
      <c r="T335" s="1054"/>
      <c r="U335" s="1054"/>
      <c r="V335" s="1054"/>
      <c r="W335" s="1054"/>
      <c r="X335" s="1054"/>
      <c r="Y335" s="1054"/>
    </row>
    <row r="336" spans="1:25">
      <c r="A336" s="1053"/>
      <c r="B336" s="1053"/>
      <c r="C336" s="1053"/>
      <c r="D336" s="1053"/>
      <c r="E336" s="1053"/>
      <c r="R336" s="1054"/>
      <c r="S336" s="1054"/>
      <c r="T336" s="1054"/>
      <c r="U336" s="1054"/>
      <c r="V336" s="1054"/>
      <c r="W336" s="1054"/>
      <c r="X336" s="1054"/>
      <c r="Y336" s="1054"/>
    </row>
    <row r="337" spans="1:25">
      <c r="A337" s="1053"/>
      <c r="B337" s="1053"/>
      <c r="C337" s="1053"/>
      <c r="D337" s="1053"/>
      <c r="E337" s="1053"/>
      <c r="R337" s="1054"/>
      <c r="S337" s="1054"/>
      <c r="T337" s="1054"/>
      <c r="U337" s="1054"/>
      <c r="V337" s="1054"/>
      <c r="W337" s="1054"/>
      <c r="X337" s="1054"/>
      <c r="Y337" s="1054"/>
    </row>
    <row r="338" spans="1:25">
      <c r="A338" s="1053"/>
      <c r="B338" s="1053"/>
      <c r="C338" s="1053"/>
      <c r="D338" s="1053"/>
      <c r="E338" s="1053"/>
      <c r="R338" s="1054"/>
      <c r="S338" s="1054"/>
      <c r="T338" s="1054"/>
      <c r="U338" s="1054"/>
      <c r="V338" s="1054"/>
      <c r="W338" s="1054"/>
      <c r="X338" s="1054"/>
      <c r="Y338" s="1054"/>
    </row>
    <row r="339" spans="1:25">
      <c r="A339" s="1053"/>
      <c r="B339" s="1053"/>
      <c r="C339" s="1053"/>
      <c r="D339" s="1053"/>
      <c r="E339" s="1053"/>
      <c r="R339" s="1054"/>
      <c r="S339" s="1054"/>
      <c r="T339" s="1054"/>
      <c r="U339" s="1054"/>
      <c r="V339" s="1054"/>
      <c r="W339" s="1054"/>
      <c r="X339" s="1054"/>
      <c r="Y339" s="1054"/>
    </row>
    <row r="340" spans="1:25">
      <c r="A340" s="1053"/>
      <c r="B340" s="1053"/>
      <c r="C340" s="1053"/>
      <c r="D340" s="1053"/>
      <c r="E340" s="1053"/>
      <c r="R340" s="1054"/>
      <c r="S340" s="1054"/>
      <c r="T340" s="1054"/>
      <c r="U340" s="1054"/>
      <c r="V340" s="1054"/>
      <c r="W340" s="1054"/>
      <c r="X340" s="1054"/>
      <c r="Y340" s="1054"/>
    </row>
    <row r="341" spans="1:25">
      <c r="A341" s="1053"/>
      <c r="B341" s="1053"/>
      <c r="C341" s="1053"/>
      <c r="D341" s="1053"/>
      <c r="E341" s="1053"/>
      <c r="R341" s="1054"/>
      <c r="S341" s="1054"/>
      <c r="T341" s="1054"/>
      <c r="U341" s="1054"/>
      <c r="V341" s="1054"/>
      <c r="W341" s="1054"/>
      <c r="X341" s="1054"/>
      <c r="Y341" s="1054"/>
    </row>
    <row r="342" spans="1:25">
      <c r="A342" s="1053"/>
      <c r="B342" s="1053"/>
      <c r="C342" s="1053"/>
      <c r="D342" s="1053"/>
      <c r="E342" s="1053"/>
      <c r="R342" s="1054"/>
      <c r="S342" s="1054"/>
      <c r="T342" s="1054"/>
      <c r="U342" s="1054"/>
      <c r="V342" s="1054"/>
      <c r="W342" s="1054"/>
      <c r="X342" s="1054"/>
      <c r="Y342" s="1054"/>
    </row>
    <row r="343" spans="1:25">
      <c r="A343" s="1053"/>
      <c r="B343" s="1053"/>
      <c r="C343" s="1053"/>
      <c r="D343" s="1053"/>
      <c r="E343" s="1053"/>
      <c r="R343" s="1054"/>
      <c r="S343" s="1054"/>
      <c r="T343" s="1054"/>
      <c r="U343" s="1054"/>
      <c r="V343" s="1054"/>
      <c r="W343" s="1054"/>
      <c r="X343" s="1054"/>
      <c r="Y343" s="1054"/>
    </row>
    <row r="344" spans="1:25">
      <c r="A344" s="1053"/>
      <c r="B344" s="1053"/>
      <c r="C344" s="1053"/>
      <c r="D344" s="1053"/>
      <c r="E344" s="1053"/>
      <c r="R344" s="1054"/>
      <c r="S344" s="1054"/>
      <c r="T344" s="1054"/>
      <c r="U344" s="1054"/>
      <c r="V344" s="1054"/>
      <c r="W344" s="1054"/>
      <c r="X344" s="1054"/>
      <c r="Y344" s="1054"/>
    </row>
    <row r="345" spans="1:25">
      <c r="A345" s="1053"/>
      <c r="B345" s="1053"/>
      <c r="C345" s="1053"/>
      <c r="D345" s="1053"/>
      <c r="E345" s="1053"/>
      <c r="R345" s="1054"/>
      <c r="S345" s="1054"/>
      <c r="T345" s="1054"/>
      <c r="U345" s="1054"/>
      <c r="V345" s="1054"/>
      <c r="W345" s="1054"/>
      <c r="X345" s="1054"/>
      <c r="Y345" s="1054"/>
    </row>
    <row r="346" spans="1:25">
      <c r="A346" s="1053"/>
      <c r="B346" s="1053"/>
      <c r="C346" s="1053"/>
      <c r="D346" s="1053"/>
      <c r="E346" s="1053"/>
      <c r="R346" s="1054"/>
      <c r="S346" s="1054"/>
      <c r="T346" s="1054"/>
      <c r="U346" s="1054"/>
      <c r="V346" s="1054"/>
      <c r="W346" s="1054"/>
      <c r="X346" s="1054"/>
      <c r="Y346" s="1054"/>
    </row>
    <row r="347" spans="1:25">
      <c r="A347" s="1053"/>
      <c r="B347" s="1053"/>
      <c r="C347" s="1053"/>
      <c r="D347" s="1053"/>
      <c r="E347" s="1053"/>
      <c r="R347" s="1054"/>
      <c r="S347" s="1054"/>
      <c r="T347" s="1054"/>
      <c r="U347" s="1054"/>
      <c r="V347" s="1054"/>
      <c r="W347" s="1054"/>
      <c r="X347" s="1054"/>
      <c r="Y347" s="1054"/>
    </row>
    <row r="348" spans="1:25">
      <c r="A348" s="1053"/>
      <c r="B348" s="1053"/>
      <c r="C348" s="1053"/>
      <c r="D348" s="1053"/>
      <c r="E348" s="1053"/>
      <c r="R348" s="1054"/>
      <c r="S348" s="1054"/>
      <c r="T348" s="1054"/>
      <c r="U348" s="1054"/>
      <c r="V348" s="1054"/>
      <c r="W348" s="1054"/>
      <c r="X348" s="1054"/>
      <c r="Y348" s="1054"/>
    </row>
    <row r="349" spans="1:25">
      <c r="A349" s="1053"/>
      <c r="B349" s="1053"/>
      <c r="C349" s="1053"/>
      <c r="D349" s="1053"/>
      <c r="E349" s="1053"/>
      <c r="R349" s="1054"/>
      <c r="S349" s="1054"/>
      <c r="T349" s="1054"/>
      <c r="U349" s="1054"/>
      <c r="V349" s="1054"/>
      <c r="W349" s="1054"/>
      <c r="X349" s="1054"/>
      <c r="Y349" s="1054"/>
    </row>
    <row r="350" spans="1:25">
      <c r="A350" s="1053"/>
      <c r="B350" s="1053"/>
      <c r="C350" s="1053"/>
      <c r="D350" s="1053"/>
      <c r="E350" s="1053"/>
      <c r="R350" s="1054"/>
      <c r="S350" s="1054"/>
      <c r="T350" s="1054"/>
      <c r="U350" s="1054"/>
      <c r="V350" s="1054"/>
      <c r="W350" s="1054"/>
      <c r="X350" s="1054"/>
      <c r="Y350" s="1054"/>
    </row>
    <row r="351" spans="1:25">
      <c r="A351" s="1053"/>
      <c r="B351" s="1053"/>
      <c r="C351" s="1053"/>
      <c r="D351" s="1053"/>
      <c r="E351" s="1053"/>
      <c r="R351" s="1054"/>
      <c r="S351" s="1054"/>
      <c r="T351" s="1054"/>
      <c r="U351" s="1054"/>
      <c r="V351" s="1054"/>
      <c r="W351" s="1054"/>
      <c r="X351" s="1054"/>
      <c r="Y351" s="1054"/>
    </row>
    <row r="352" spans="1:25">
      <c r="A352" s="1053"/>
      <c r="B352" s="1053"/>
      <c r="C352" s="1053"/>
      <c r="D352" s="1053"/>
      <c r="E352" s="1053"/>
      <c r="R352" s="1054"/>
      <c r="S352" s="1054"/>
      <c r="T352" s="1054"/>
      <c r="U352" s="1054"/>
      <c r="V352" s="1054"/>
      <c r="W352" s="1054"/>
      <c r="X352" s="1054"/>
      <c r="Y352" s="1054"/>
    </row>
    <row r="353" spans="1:25">
      <c r="A353" s="1053"/>
      <c r="B353" s="1053"/>
      <c r="C353" s="1053"/>
      <c r="D353" s="1053"/>
      <c r="E353" s="1053"/>
      <c r="R353" s="1054"/>
      <c r="S353" s="1054"/>
      <c r="T353" s="1054"/>
      <c r="U353" s="1054"/>
      <c r="V353" s="1054"/>
      <c r="W353" s="1054"/>
      <c r="X353" s="1054"/>
      <c r="Y353" s="1054"/>
    </row>
    <row r="354" spans="1:25">
      <c r="A354" s="1053"/>
      <c r="B354" s="1053"/>
      <c r="C354" s="1053"/>
      <c r="D354" s="1053"/>
      <c r="E354" s="1053"/>
      <c r="R354" s="1054"/>
      <c r="S354" s="1054"/>
      <c r="T354" s="1054"/>
      <c r="U354" s="1054"/>
      <c r="V354" s="1054"/>
      <c r="W354" s="1054"/>
      <c r="X354" s="1054"/>
      <c r="Y354" s="1054"/>
    </row>
    <row r="355" spans="1:25">
      <c r="A355" s="1053"/>
      <c r="B355" s="1053"/>
      <c r="C355" s="1053"/>
      <c r="D355" s="1053"/>
      <c r="E355" s="1053"/>
      <c r="R355" s="1054"/>
      <c r="S355" s="1054"/>
      <c r="T355" s="1054"/>
      <c r="U355" s="1054"/>
      <c r="V355" s="1054"/>
      <c r="W355" s="1054"/>
      <c r="X355" s="1054"/>
      <c r="Y355" s="1054"/>
    </row>
    <row r="356" spans="1:25">
      <c r="A356" s="1053"/>
      <c r="B356" s="1053"/>
      <c r="C356" s="1053"/>
      <c r="D356" s="1053"/>
      <c r="E356" s="1053"/>
      <c r="R356" s="1054"/>
      <c r="S356" s="1054"/>
      <c r="T356" s="1054"/>
      <c r="U356" s="1054"/>
      <c r="V356" s="1054"/>
      <c r="W356" s="1054"/>
      <c r="X356" s="1054"/>
      <c r="Y356" s="1054"/>
    </row>
    <row r="357" spans="1:25">
      <c r="A357" s="1053"/>
      <c r="B357" s="1053"/>
      <c r="C357" s="1053"/>
      <c r="D357" s="1053"/>
      <c r="E357" s="1053"/>
      <c r="R357" s="1054"/>
      <c r="S357" s="1054"/>
      <c r="T357" s="1054"/>
      <c r="U357" s="1054"/>
      <c r="V357" s="1054"/>
      <c r="W357" s="1054"/>
      <c r="X357" s="1054"/>
      <c r="Y357" s="1054"/>
    </row>
    <row r="358" spans="1:25">
      <c r="A358" s="1053"/>
      <c r="B358" s="1053"/>
      <c r="C358" s="1053"/>
      <c r="D358" s="1053"/>
      <c r="E358" s="1053"/>
      <c r="R358" s="1054"/>
      <c r="S358" s="1054"/>
      <c r="T358" s="1054"/>
      <c r="U358" s="1054"/>
      <c r="V358" s="1054"/>
      <c r="W358" s="1054"/>
      <c r="X358" s="1054"/>
      <c r="Y358" s="1054"/>
    </row>
    <row r="359" spans="1:25">
      <c r="A359" s="1053"/>
      <c r="B359" s="1053"/>
      <c r="C359" s="1053"/>
      <c r="D359" s="1053"/>
      <c r="E359" s="1053"/>
      <c r="R359" s="1054"/>
      <c r="S359" s="1054"/>
      <c r="T359" s="1054"/>
      <c r="U359" s="1054"/>
      <c r="V359" s="1054"/>
      <c r="W359" s="1054"/>
      <c r="X359" s="1054"/>
      <c r="Y359" s="1054"/>
    </row>
    <row r="360" spans="1:25">
      <c r="A360" s="1053"/>
      <c r="B360" s="1053"/>
      <c r="C360" s="1053"/>
      <c r="D360" s="1053"/>
      <c r="E360" s="1053"/>
      <c r="R360" s="1054"/>
      <c r="S360" s="1054"/>
      <c r="T360" s="1054"/>
      <c r="U360" s="1054"/>
      <c r="V360" s="1054"/>
      <c r="W360" s="1054"/>
      <c r="X360" s="1054"/>
      <c r="Y360" s="1054"/>
    </row>
    <row r="361" spans="1:25">
      <c r="A361" s="1053"/>
      <c r="B361" s="1053"/>
      <c r="C361" s="1053"/>
      <c r="D361" s="1053"/>
      <c r="E361" s="1053"/>
      <c r="R361" s="1054"/>
      <c r="S361" s="1054"/>
      <c r="T361" s="1054"/>
      <c r="U361" s="1054"/>
      <c r="V361" s="1054"/>
      <c r="W361" s="1054"/>
      <c r="X361" s="1054"/>
      <c r="Y361" s="1054"/>
    </row>
    <row r="362" spans="1:25">
      <c r="A362" s="1053"/>
      <c r="B362" s="1053"/>
      <c r="C362" s="1053"/>
      <c r="D362" s="1053"/>
      <c r="E362" s="1053"/>
      <c r="R362" s="1054"/>
      <c r="S362" s="1054"/>
      <c r="T362" s="1054"/>
      <c r="U362" s="1054"/>
      <c r="V362" s="1054"/>
      <c r="W362" s="1054"/>
      <c r="X362" s="1054"/>
      <c r="Y362" s="1054"/>
    </row>
    <row r="363" spans="1:25">
      <c r="A363" s="1053"/>
      <c r="B363" s="1053"/>
      <c r="C363" s="1053"/>
      <c r="D363" s="1053"/>
      <c r="E363" s="1053"/>
      <c r="R363" s="1054"/>
      <c r="S363" s="1054"/>
      <c r="T363" s="1054"/>
      <c r="U363" s="1054"/>
      <c r="V363" s="1054"/>
      <c r="W363" s="1054"/>
      <c r="X363" s="1054"/>
      <c r="Y363" s="1054"/>
    </row>
    <row r="364" spans="1:25">
      <c r="A364" s="1053"/>
      <c r="B364" s="1053"/>
      <c r="C364" s="1053"/>
      <c r="D364" s="1053"/>
      <c r="E364" s="1053"/>
      <c r="R364" s="1054"/>
      <c r="S364" s="1054"/>
      <c r="T364" s="1054"/>
      <c r="U364" s="1054"/>
      <c r="V364" s="1054"/>
      <c r="W364" s="1054"/>
      <c r="X364" s="1054"/>
      <c r="Y364" s="1054"/>
    </row>
    <row r="365" spans="1:25">
      <c r="A365" s="1053"/>
      <c r="B365" s="1053"/>
      <c r="C365" s="1053"/>
      <c r="D365" s="1053"/>
      <c r="E365" s="1053"/>
      <c r="R365" s="1054"/>
      <c r="S365" s="1054"/>
      <c r="T365" s="1054"/>
      <c r="U365" s="1054"/>
      <c r="V365" s="1054"/>
      <c r="W365" s="1054"/>
      <c r="X365" s="1054"/>
      <c r="Y365" s="1054"/>
    </row>
    <row r="366" spans="1:25">
      <c r="A366" s="1053"/>
      <c r="B366" s="1053"/>
      <c r="C366" s="1053"/>
      <c r="D366" s="1053"/>
      <c r="E366" s="1053"/>
      <c r="R366" s="1054"/>
      <c r="S366" s="1054"/>
      <c r="T366" s="1054"/>
      <c r="U366" s="1054"/>
      <c r="V366" s="1054"/>
      <c r="W366" s="1054"/>
      <c r="X366" s="1054"/>
      <c r="Y366" s="1054"/>
    </row>
    <row r="367" spans="1:25">
      <c r="A367" s="1053"/>
      <c r="B367" s="1053"/>
      <c r="C367" s="1053"/>
      <c r="D367" s="1053"/>
      <c r="E367" s="1053"/>
      <c r="R367" s="1054"/>
      <c r="S367" s="1054"/>
      <c r="T367" s="1054"/>
      <c r="U367" s="1054"/>
      <c r="V367" s="1054"/>
      <c r="W367" s="1054"/>
      <c r="X367" s="1054"/>
      <c r="Y367" s="1054"/>
    </row>
    <row r="368" spans="1:25">
      <c r="A368" s="1053"/>
      <c r="B368" s="1053"/>
      <c r="C368" s="1053"/>
      <c r="D368" s="1053"/>
      <c r="E368" s="1053"/>
      <c r="R368" s="1054"/>
      <c r="S368" s="1054"/>
      <c r="T368" s="1054"/>
      <c r="U368" s="1054"/>
      <c r="V368" s="1054"/>
      <c r="W368" s="1054"/>
      <c r="X368" s="1054"/>
      <c r="Y368" s="1054"/>
    </row>
    <row r="369" spans="1:25">
      <c r="A369" s="1053"/>
      <c r="B369" s="1053"/>
      <c r="C369" s="1053"/>
      <c r="D369" s="1053"/>
      <c r="E369" s="1053"/>
      <c r="R369" s="1054"/>
      <c r="S369" s="1054"/>
      <c r="T369" s="1054"/>
      <c r="U369" s="1054"/>
      <c r="V369" s="1054"/>
      <c r="W369" s="1054"/>
      <c r="X369" s="1054"/>
      <c r="Y369" s="1054"/>
    </row>
    <row r="370" spans="1:25">
      <c r="A370" s="1053"/>
      <c r="B370" s="1053"/>
      <c r="C370" s="1053"/>
      <c r="D370" s="1053"/>
      <c r="E370" s="1053"/>
      <c r="R370" s="1054"/>
      <c r="S370" s="1054"/>
      <c r="T370" s="1054"/>
      <c r="U370" s="1054"/>
      <c r="V370" s="1054"/>
      <c r="W370" s="1054"/>
      <c r="X370" s="1054"/>
      <c r="Y370" s="1054"/>
    </row>
    <row r="371" spans="1:25">
      <c r="A371" s="1053"/>
      <c r="B371" s="1053"/>
      <c r="C371" s="1053"/>
      <c r="D371" s="1053"/>
      <c r="E371" s="1053"/>
      <c r="R371" s="1054"/>
      <c r="S371" s="1054"/>
      <c r="T371" s="1054"/>
      <c r="U371" s="1054"/>
      <c r="V371" s="1054"/>
      <c r="W371" s="1054"/>
      <c r="X371" s="1054"/>
      <c r="Y371" s="1054"/>
    </row>
    <row r="372" spans="1:25">
      <c r="A372" s="1053"/>
      <c r="B372" s="1053"/>
      <c r="C372" s="1053"/>
      <c r="D372" s="1053"/>
      <c r="E372" s="1053"/>
      <c r="R372" s="1054"/>
      <c r="S372" s="1054"/>
      <c r="T372" s="1054"/>
      <c r="U372" s="1054"/>
      <c r="V372" s="1054"/>
      <c r="W372" s="1054"/>
      <c r="X372" s="1054"/>
      <c r="Y372" s="1054"/>
    </row>
    <row r="373" spans="1:25">
      <c r="A373" s="1053"/>
      <c r="B373" s="1053"/>
      <c r="C373" s="1053"/>
      <c r="D373" s="1053"/>
      <c r="E373" s="1053"/>
      <c r="R373" s="1054"/>
      <c r="S373" s="1054"/>
      <c r="T373" s="1054"/>
      <c r="U373" s="1054"/>
      <c r="V373" s="1054"/>
      <c r="W373" s="1054"/>
      <c r="X373" s="1054"/>
      <c r="Y373" s="1054"/>
    </row>
    <row r="374" spans="1:25">
      <c r="A374" s="1053"/>
      <c r="B374" s="1053"/>
      <c r="C374" s="1053"/>
      <c r="D374" s="1053"/>
      <c r="E374" s="1053"/>
      <c r="R374" s="1054"/>
      <c r="S374" s="1054"/>
      <c r="T374" s="1054"/>
      <c r="U374" s="1054"/>
      <c r="V374" s="1054"/>
      <c r="W374" s="1054"/>
      <c r="X374" s="1054"/>
      <c r="Y374" s="1054"/>
    </row>
    <row r="375" spans="1:25">
      <c r="A375" s="1053"/>
      <c r="B375" s="1053"/>
      <c r="C375" s="1053"/>
      <c r="D375" s="1053"/>
      <c r="E375" s="1053"/>
      <c r="R375" s="1054"/>
      <c r="S375" s="1054"/>
      <c r="T375" s="1054"/>
      <c r="U375" s="1054"/>
      <c r="V375" s="1054"/>
      <c r="W375" s="1054"/>
      <c r="X375" s="1054"/>
      <c r="Y375" s="1054"/>
    </row>
    <row r="376" spans="1:25">
      <c r="A376" s="1053"/>
      <c r="B376" s="1053"/>
      <c r="C376" s="1053"/>
      <c r="D376" s="1053"/>
      <c r="E376" s="1053"/>
      <c r="R376" s="1054"/>
      <c r="S376" s="1054"/>
      <c r="T376" s="1054"/>
      <c r="U376" s="1054"/>
      <c r="V376" s="1054"/>
      <c r="W376" s="1054"/>
      <c r="X376" s="1054"/>
      <c r="Y376" s="1054"/>
    </row>
    <row r="377" spans="1:25">
      <c r="A377" s="1053"/>
      <c r="B377" s="1053"/>
      <c r="C377" s="1053"/>
      <c r="D377" s="1053"/>
      <c r="E377" s="1053"/>
      <c r="R377" s="1054"/>
      <c r="S377" s="1054"/>
      <c r="T377" s="1054"/>
      <c r="U377" s="1054"/>
      <c r="V377" s="1054"/>
      <c r="W377" s="1054"/>
      <c r="X377" s="1054"/>
      <c r="Y377" s="1054"/>
    </row>
    <row r="378" spans="1:25">
      <c r="A378" s="1053"/>
      <c r="B378" s="1053"/>
      <c r="C378" s="1053"/>
      <c r="D378" s="1053"/>
      <c r="E378" s="1053"/>
      <c r="R378" s="1054"/>
      <c r="S378" s="1054"/>
      <c r="T378" s="1054"/>
      <c r="U378" s="1054"/>
      <c r="V378" s="1054"/>
      <c r="W378" s="1054"/>
      <c r="X378" s="1054"/>
      <c r="Y378" s="1054"/>
    </row>
    <row r="379" spans="1:25">
      <c r="A379" s="1053"/>
      <c r="B379" s="1053"/>
      <c r="C379" s="1053"/>
      <c r="D379" s="1053"/>
      <c r="E379" s="1053"/>
      <c r="R379" s="1054"/>
      <c r="S379" s="1054"/>
      <c r="T379" s="1054"/>
      <c r="U379" s="1054"/>
      <c r="V379" s="1054"/>
      <c r="W379" s="1054"/>
      <c r="X379" s="1054"/>
      <c r="Y379" s="1054"/>
    </row>
    <row r="380" spans="1:25">
      <c r="A380" s="1053"/>
      <c r="B380" s="1053"/>
      <c r="C380" s="1053"/>
      <c r="D380" s="1053"/>
      <c r="E380" s="1053"/>
      <c r="R380" s="1054"/>
      <c r="S380" s="1054"/>
      <c r="T380" s="1054"/>
      <c r="U380" s="1054"/>
      <c r="V380" s="1054"/>
      <c r="W380" s="1054"/>
      <c r="X380" s="1054"/>
      <c r="Y380" s="1054"/>
    </row>
    <row r="381" spans="1:25">
      <c r="A381" s="1053"/>
      <c r="B381" s="1053"/>
      <c r="C381" s="1053"/>
      <c r="D381" s="1053"/>
      <c r="E381" s="1053"/>
      <c r="R381" s="1054"/>
      <c r="S381" s="1054"/>
      <c r="T381" s="1054"/>
      <c r="U381" s="1054"/>
      <c r="V381" s="1054"/>
      <c r="W381" s="1054"/>
      <c r="X381" s="1054"/>
      <c r="Y381" s="1054"/>
    </row>
    <row r="382" spans="1:25">
      <c r="A382" s="1053"/>
      <c r="B382" s="1053"/>
      <c r="C382" s="1053"/>
      <c r="D382" s="1053"/>
      <c r="E382" s="1053"/>
      <c r="R382" s="1054"/>
      <c r="S382" s="1054"/>
      <c r="T382" s="1054"/>
      <c r="U382" s="1054"/>
      <c r="V382" s="1054"/>
      <c r="W382" s="1054"/>
      <c r="X382" s="1054"/>
      <c r="Y382" s="1054"/>
    </row>
    <row r="383" spans="1:25">
      <c r="A383" s="1053"/>
      <c r="B383" s="1053"/>
      <c r="C383" s="1053"/>
      <c r="D383" s="1053"/>
      <c r="E383" s="1053"/>
      <c r="R383" s="1054"/>
      <c r="S383" s="1054"/>
      <c r="T383" s="1054"/>
      <c r="U383" s="1054"/>
      <c r="V383" s="1054"/>
      <c r="W383" s="1054"/>
      <c r="X383" s="1054"/>
      <c r="Y383" s="1054"/>
    </row>
    <row r="384" spans="1:25">
      <c r="A384" s="1053"/>
      <c r="B384" s="1053"/>
      <c r="C384" s="1053"/>
      <c r="D384" s="1053"/>
      <c r="E384" s="1053"/>
      <c r="R384" s="1054"/>
      <c r="S384" s="1054"/>
      <c r="T384" s="1054"/>
      <c r="U384" s="1054"/>
      <c r="V384" s="1054"/>
      <c r="W384" s="1054"/>
      <c r="X384" s="1054"/>
      <c r="Y384" s="1054"/>
    </row>
    <row r="385" spans="1:25">
      <c r="A385" s="1053"/>
      <c r="B385" s="1053"/>
      <c r="C385" s="1053"/>
      <c r="D385" s="1053"/>
      <c r="E385" s="1053"/>
      <c r="R385" s="1054"/>
      <c r="S385" s="1054"/>
      <c r="T385" s="1054"/>
      <c r="U385" s="1054"/>
      <c r="V385" s="1054"/>
      <c r="W385" s="1054"/>
      <c r="X385" s="1054"/>
      <c r="Y385" s="1054"/>
    </row>
    <row r="386" spans="1:25">
      <c r="A386" s="1053"/>
      <c r="B386" s="1053"/>
      <c r="C386" s="1053"/>
      <c r="D386" s="1053"/>
      <c r="E386" s="1053"/>
      <c r="R386" s="1054"/>
      <c r="S386" s="1054"/>
      <c r="T386" s="1054"/>
      <c r="U386" s="1054"/>
      <c r="V386" s="1054"/>
      <c r="W386" s="1054"/>
      <c r="X386" s="1054"/>
      <c r="Y386" s="1054"/>
    </row>
    <row r="387" spans="1:25">
      <c r="A387" s="1053"/>
      <c r="B387" s="1053"/>
      <c r="C387" s="1053"/>
      <c r="D387" s="1053"/>
      <c r="E387" s="1053"/>
      <c r="R387" s="1054"/>
      <c r="S387" s="1054"/>
      <c r="T387" s="1054"/>
      <c r="U387" s="1054"/>
      <c r="V387" s="1054"/>
      <c r="W387" s="1054"/>
      <c r="X387" s="1054"/>
      <c r="Y387" s="1054"/>
    </row>
    <row r="388" spans="1:25">
      <c r="A388" s="1053"/>
      <c r="B388" s="1053"/>
      <c r="C388" s="1053"/>
      <c r="D388" s="1053"/>
      <c r="E388" s="1053"/>
      <c r="R388" s="1054"/>
      <c r="S388" s="1054"/>
      <c r="T388" s="1054"/>
      <c r="U388" s="1054"/>
      <c r="V388" s="1054"/>
      <c r="W388" s="1054"/>
      <c r="X388" s="1054"/>
      <c r="Y388" s="1054"/>
    </row>
    <row r="389" spans="1:25">
      <c r="A389" s="1053"/>
      <c r="B389" s="1053"/>
      <c r="C389" s="1053"/>
      <c r="D389" s="1053"/>
      <c r="E389" s="1053"/>
      <c r="R389" s="1054"/>
      <c r="S389" s="1054"/>
      <c r="T389" s="1054"/>
      <c r="U389" s="1054"/>
      <c r="V389" s="1054"/>
      <c r="W389" s="1054"/>
      <c r="X389" s="1054"/>
      <c r="Y389" s="1054"/>
    </row>
    <row r="390" spans="1:25">
      <c r="A390" s="1053"/>
      <c r="B390" s="1053"/>
      <c r="C390" s="1053"/>
      <c r="D390" s="1053"/>
      <c r="E390" s="1053"/>
      <c r="R390" s="1054"/>
      <c r="S390" s="1054"/>
      <c r="T390" s="1054"/>
      <c r="U390" s="1054"/>
      <c r="V390" s="1054"/>
      <c r="W390" s="1054"/>
      <c r="X390" s="1054"/>
      <c r="Y390" s="1054"/>
    </row>
    <row r="391" spans="1:25">
      <c r="A391" s="1053"/>
      <c r="B391" s="1053"/>
      <c r="C391" s="1053"/>
      <c r="D391" s="1053"/>
      <c r="E391" s="1053"/>
      <c r="R391" s="1054"/>
      <c r="S391" s="1054"/>
      <c r="T391" s="1054"/>
      <c r="U391" s="1054"/>
      <c r="V391" s="1054"/>
      <c r="W391" s="1054"/>
      <c r="X391" s="1054"/>
      <c r="Y391" s="1054"/>
    </row>
    <row r="392" spans="1:25">
      <c r="A392" s="1053"/>
      <c r="B392" s="1053"/>
      <c r="C392" s="1053"/>
      <c r="D392" s="1053"/>
      <c r="E392" s="1053"/>
      <c r="R392" s="1054"/>
      <c r="S392" s="1054"/>
      <c r="T392" s="1054"/>
      <c r="U392" s="1054"/>
      <c r="V392" s="1054"/>
      <c r="W392" s="1054"/>
      <c r="X392" s="1054"/>
      <c r="Y392" s="1054"/>
    </row>
    <row r="393" spans="1:25">
      <c r="A393" s="1053"/>
      <c r="B393" s="1053"/>
      <c r="C393" s="1053"/>
      <c r="D393" s="1053"/>
      <c r="E393" s="1053"/>
      <c r="R393" s="1054"/>
      <c r="S393" s="1054"/>
      <c r="T393" s="1054"/>
      <c r="U393" s="1054"/>
      <c r="V393" s="1054"/>
      <c r="W393" s="1054"/>
      <c r="X393" s="1054"/>
      <c r="Y393" s="1054"/>
    </row>
    <row r="394" spans="1:25">
      <c r="A394" s="1053"/>
      <c r="B394" s="1053"/>
      <c r="C394" s="1053"/>
      <c r="D394" s="1053"/>
      <c r="E394" s="1053"/>
      <c r="R394" s="1054"/>
      <c r="S394" s="1054"/>
      <c r="T394" s="1054"/>
      <c r="U394" s="1054"/>
      <c r="V394" s="1054"/>
      <c r="W394" s="1054"/>
      <c r="X394" s="1054"/>
      <c r="Y394" s="1054"/>
    </row>
    <row r="395" spans="1:25">
      <c r="A395" s="1053"/>
      <c r="B395" s="1053"/>
      <c r="C395" s="1053"/>
      <c r="D395" s="1053"/>
      <c r="E395" s="1053"/>
      <c r="R395" s="1054"/>
      <c r="S395" s="1054"/>
      <c r="T395" s="1054"/>
      <c r="U395" s="1054"/>
      <c r="V395" s="1054"/>
      <c r="W395" s="1054"/>
      <c r="X395" s="1054"/>
      <c r="Y395" s="1054"/>
    </row>
    <row r="396" spans="1:25">
      <c r="A396" s="1053"/>
      <c r="B396" s="1053"/>
      <c r="C396" s="1053"/>
      <c r="D396" s="1053"/>
      <c r="E396" s="1053"/>
      <c r="R396" s="1054"/>
      <c r="S396" s="1054"/>
      <c r="T396" s="1054"/>
      <c r="U396" s="1054"/>
      <c r="V396" s="1054"/>
      <c r="W396" s="1054"/>
      <c r="X396" s="1054"/>
      <c r="Y396" s="1054"/>
    </row>
    <row r="397" spans="1:25">
      <c r="A397" s="1053"/>
      <c r="B397" s="1053"/>
      <c r="C397" s="1053"/>
      <c r="D397" s="1053"/>
      <c r="E397" s="1053"/>
      <c r="R397" s="1054"/>
      <c r="S397" s="1054"/>
      <c r="T397" s="1054"/>
      <c r="U397" s="1054"/>
      <c r="V397" s="1054"/>
      <c r="W397" s="1054"/>
      <c r="X397" s="1054"/>
      <c r="Y397" s="1054"/>
    </row>
    <row r="398" spans="1:25">
      <c r="A398" s="1053"/>
      <c r="B398" s="1053"/>
      <c r="C398" s="1053"/>
      <c r="D398" s="1053"/>
      <c r="E398" s="1053"/>
      <c r="R398" s="1054"/>
      <c r="S398" s="1054"/>
      <c r="T398" s="1054"/>
      <c r="U398" s="1054"/>
      <c r="V398" s="1054"/>
      <c r="W398" s="1054"/>
      <c r="X398" s="1054"/>
      <c r="Y398" s="1054"/>
    </row>
    <row r="399" spans="1:25">
      <c r="A399" s="1053"/>
      <c r="B399" s="1053"/>
      <c r="C399" s="1053"/>
      <c r="D399" s="1053"/>
      <c r="E399" s="1053"/>
      <c r="R399" s="1054"/>
      <c r="S399" s="1054"/>
      <c r="T399" s="1054"/>
      <c r="U399" s="1054"/>
      <c r="V399" s="1054"/>
      <c r="W399" s="1054"/>
      <c r="X399" s="1054"/>
      <c r="Y399" s="1054"/>
    </row>
    <row r="400" spans="1:25">
      <c r="A400" s="1053"/>
      <c r="B400" s="1053"/>
      <c r="C400" s="1053"/>
      <c r="D400" s="1053"/>
      <c r="E400" s="1053"/>
      <c r="R400" s="1054"/>
      <c r="S400" s="1054"/>
      <c r="T400" s="1054"/>
      <c r="U400" s="1054"/>
      <c r="V400" s="1054"/>
      <c r="W400" s="1054"/>
      <c r="X400" s="1054"/>
      <c r="Y400" s="1054"/>
    </row>
    <row r="401" spans="1:25">
      <c r="A401" s="1053"/>
      <c r="B401" s="1053"/>
      <c r="C401" s="1053"/>
      <c r="D401" s="1053"/>
      <c r="E401" s="1053"/>
      <c r="R401" s="1054"/>
      <c r="S401" s="1054"/>
      <c r="T401" s="1054"/>
      <c r="U401" s="1054"/>
      <c r="V401" s="1054"/>
      <c r="W401" s="1054"/>
      <c r="X401" s="1054"/>
      <c r="Y401" s="1054"/>
    </row>
    <row r="402" spans="1:25">
      <c r="A402" s="1053"/>
      <c r="B402" s="1053"/>
      <c r="C402" s="1053"/>
      <c r="D402" s="1053"/>
      <c r="E402" s="1053"/>
      <c r="R402" s="1054"/>
      <c r="S402" s="1054"/>
      <c r="T402" s="1054"/>
      <c r="U402" s="1054"/>
      <c r="V402" s="1054"/>
      <c r="W402" s="1054"/>
      <c r="X402" s="1054"/>
      <c r="Y402" s="1054"/>
    </row>
    <row r="403" spans="1:25">
      <c r="A403" s="1053"/>
      <c r="B403" s="1053"/>
      <c r="C403" s="1053"/>
      <c r="D403" s="1053"/>
      <c r="E403" s="1053"/>
      <c r="R403" s="1054"/>
      <c r="S403" s="1054"/>
      <c r="T403" s="1054"/>
      <c r="U403" s="1054"/>
      <c r="V403" s="1054"/>
      <c r="W403" s="1054"/>
      <c r="X403" s="1054"/>
      <c r="Y403" s="1054"/>
    </row>
    <row r="404" spans="1:25">
      <c r="A404" s="1053"/>
      <c r="B404" s="1053"/>
      <c r="C404" s="1053"/>
      <c r="D404" s="1053"/>
      <c r="E404" s="1053"/>
      <c r="R404" s="1054"/>
      <c r="S404" s="1054"/>
      <c r="T404" s="1054"/>
      <c r="U404" s="1054"/>
      <c r="V404" s="1054"/>
      <c r="W404" s="1054"/>
      <c r="X404" s="1054"/>
      <c r="Y404" s="1054"/>
    </row>
    <row r="405" spans="1:25">
      <c r="A405" s="1053"/>
      <c r="B405" s="1053"/>
      <c r="C405" s="1053"/>
      <c r="D405" s="1053"/>
      <c r="E405" s="1053"/>
      <c r="R405" s="1054"/>
      <c r="S405" s="1054"/>
      <c r="T405" s="1054"/>
      <c r="U405" s="1054"/>
      <c r="V405" s="1054"/>
      <c r="W405" s="1054"/>
      <c r="X405" s="1054"/>
      <c r="Y405" s="1054"/>
    </row>
    <row r="406" spans="1:25">
      <c r="A406" s="1053"/>
      <c r="B406" s="1053"/>
      <c r="C406" s="1053"/>
      <c r="D406" s="1053"/>
      <c r="E406" s="1053"/>
      <c r="R406" s="1054"/>
      <c r="S406" s="1054"/>
      <c r="T406" s="1054"/>
      <c r="U406" s="1054"/>
      <c r="V406" s="1054"/>
      <c r="W406" s="1054"/>
      <c r="X406" s="1054"/>
      <c r="Y406" s="1054"/>
    </row>
    <row r="407" spans="1:25">
      <c r="A407" s="1053"/>
      <c r="B407" s="1053"/>
      <c r="C407" s="1053"/>
      <c r="D407" s="1053"/>
      <c r="E407" s="1053"/>
      <c r="R407" s="1054"/>
      <c r="S407" s="1054"/>
      <c r="T407" s="1054"/>
      <c r="U407" s="1054"/>
      <c r="V407" s="1054"/>
      <c r="W407" s="1054"/>
      <c r="X407" s="1054"/>
      <c r="Y407" s="1054"/>
    </row>
    <row r="408" spans="1:25">
      <c r="A408" s="1053"/>
      <c r="B408" s="1053"/>
      <c r="C408" s="1053"/>
      <c r="D408" s="1053"/>
      <c r="E408" s="1053"/>
      <c r="R408" s="1054"/>
      <c r="S408" s="1054"/>
      <c r="T408" s="1054"/>
      <c r="U408" s="1054"/>
      <c r="V408" s="1054"/>
      <c r="W408" s="1054"/>
      <c r="X408" s="1054"/>
      <c r="Y408" s="1054"/>
    </row>
    <row r="409" spans="1:25">
      <c r="A409" s="1053"/>
      <c r="B409" s="1053"/>
      <c r="C409" s="1053"/>
      <c r="D409" s="1053"/>
      <c r="E409" s="1053"/>
      <c r="R409" s="1054"/>
      <c r="S409" s="1054"/>
      <c r="T409" s="1054"/>
      <c r="U409" s="1054"/>
      <c r="V409" s="1054"/>
      <c r="W409" s="1054"/>
      <c r="X409" s="1054"/>
      <c r="Y409" s="1054"/>
    </row>
    <row r="410" spans="1:25">
      <c r="A410" s="1053"/>
      <c r="B410" s="1053"/>
      <c r="C410" s="1053"/>
      <c r="D410" s="1053"/>
      <c r="E410" s="1053"/>
      <c r="R410" s="1054"/>
      <c r="S410" s="1054"/>
      <c r="T410" s="1054"/>
      <c r="U410" s="1054"/>
      <c r="V410" s="1054"/>
      <c r="W410" s="1054"/>
      <c r="X410" s="1054"/>
      <c r="Y410" s="1054"/>
    </row>
    <row r="411" spans="1:25">
      <c r="A411" s="1053"/>
      <c r="B411" s="1053"/>
      <c r="C411" s="1053"/>
      <c r="D411" s="1053"/>
      <c r="E411" s="1053"/>
      <c r="R411" s="1054"/>
      <c r="S411" s="1054"/>
      <c r="T411" s="1054"/>
      <c r="U411" s="1054"/>
      <c r="V411" s="1054"/>
      <c r="W411" s="1054"/>
      <c r="X411" s="1054"/>
      <c r="Y411" s="1054"/>
    </row>
    <row r="412" spans="1:25">
      <c r="A412" s="1053"/>
      <c r="B412" s="1053"/>
      <c r="C412" s="1053"/>
      <c r="D412" s="1053"/>
      <c r="E412" s="1053"/>
      <c r="R412" s="1054"/>
      <c r="S412" s="1054"/>
      <c r="T412" s="1054"/>
      <c r="U412" s="1054"/>
      <c r="V412" s="1054"/>
      <c r="W412" s="1054"/>
      <c r="X412" s="1054"/>
      <c r="Y412" s="1054"/>
    </row>
    <row r="413" spans="1:25">
      <c r="A413" s="1053"/>
      <c r="B413" s="1053"/>
      <c r="C413" s="1053"/>
      <c r="D413" s="1053"/>
      <c r="E413" s="1053"/>
      <c r="R413" s="1054"/>
      <c r="S413" s="1054"/>
      <c r="T413" s="1054"/>
      <c r="U413" s="1054"/>
      <c r="V413" s="1054"/>
      <c r="W413" s="1054"/>
      <c r="X413" s="1054"/>
      <c r="Y413" s="1054"/>
    </row>
    <row r="414" spans="1:25">
      <c r="A414" s="1053"/>
      <c r="B414" s="1053"/>
      <c r="C414" s="1053"/>
      <c r="D414" s="1053"/>
      <c r="E414" s="1053"/>
      <c r="R414" s="1054"/>
      <c r="S414" s="1054"/>
      <c r="T414" s="1054"/>
      <c r="U414" s="1054"/>
      <c r="V414" s="1054"/>
      <c r="W414" s="1054"/>
      <c r="X414" s="1054"/>
      <c r="Y414" s="1054"/>
    </row>
    <row r="415" spans="1:25">
      <c r="A415" s="1053"/>
      <c r="B415" s="1053"/>
      <c r="C415" s="1053"/>
      <c r="D415" s="1053"/>
      <c r="E415" s="1053"/>
      <c r="R415" s="1054"/>
      <c r="S415" s="1054"/>
      <c r="T415" s="1054"/>
      <c r="U415" s="1054"/>
      <c r="V415" s="1054"/>
      <c r="W415" s="1054"/>
      <c r="X415" s="1054"/>
      <c r="Y415" s="1054"/>
    </row>
    <row r="416" spans="1:25">
      <c r="A416" s="1053"/>
      <c r="B416" s="1053"/>
      <c r="C416" s="1053"/>
      <c r="D416" s="1053"/>
      <c r="E416" s="1053"/>
      <c r="R416" s="1054"/>
      <c r="S416" s="1054"/>
      <c r="T416" s="1054"/>
      <c r="U416" s="1054"/>
      <c r="V416" s="1054"/>
      <c r="W416" s="1054"/>
      <c r="X416" s="1054"/>
      <c r="Y416" s="1054"/>
    </row>
    <row r="417" spans="1:25">
      <c r="A417" s="1053"/>
      <c r="B417" s="1053"/>
      <c r="C417" s="1053"/>
      <c r="D417" s="1053"/>
      <c r="E417" s="1053"/>
      <c r="R417" s="1054"/>
      <c r="S417" s="1054"/>
      <c r="T417" s="1054"/>
      <c r="U417" s="1054"/>
      <c r="V417" s="1054"/>
      <c r="W417" s="1054"/>
      <c r="X417" s="1054"/>
      <c r="Y417" s="1054"/>
    </row>
    <row r="418" spans="1:25">
      <c r="A418" s="1053"/>
      <c r="B418" s="1053"/>
      <c r="C418" s="1053"/>
      <c r="D418" s="1053"/>
      <c r="E418" s="1053"/>
      <c r="R418" s="1054"/>
      <c r="S418" s="1054"/>
      <c r="T418" s="1054"/>
      <c r="U418" s="1054"/>
      <c r="V418" s="1054"/>
      <c r="W418" s="1054"/>
      <c r="X418" s="1054"/>
      <c r="Y418" s="1054"/>
    </row>
    <row r="419" spans="1:25">
      <c r="A419" s="1053"/>
      <c r="B419" s="1053"/>
      <c r="C419" s="1053"/>
      <c r="D419" s="1053"/>
      <c r="E419" s="1053"/>
      <c r="R419" s="1054"/>
      <c r="S419" s="1054"/>
      <c r="T419" s="1054"/>
      <c r="U419" s="1054"/>
      <c r="V419" s="1054"/>
      <c r="W419" s="1054"/>
      <c r="X419" s="1054"/>
      <c r="Y419" s="1054"/>
    </row>
    <row r="420" spans="1:25">
      <c r="A420" s="1053"/>
      <c r="B420" s="1053"/>
      <c r="C420" s="1053"/>
      <c r="D420" s="1053"/>
      <c r="E420" s="1053"/>
      <c r="R420" s="1054"/>
      <c r="S420" s="1054"/>
      <c r="T420" s="1054"/>
      <c r="U420" s="1054"/>
      <c r="V420" s="1054"/>
      <c r="W420" s="1054"/>
      <c r="X420" s="1054"/>
      <c r="Y420" s="1054"/>
    </row>
    <row r="421" spans="1:25">
      <c r="A421" s="1053"/>
      <c r="B421" s="1053"/>
      <c r="C421" s="1053"/>
      <c r="D421" s="1053"/>
      <c r="E421" s="1053"/>
      <c r="R421" s="1054"/>
      <c r="S421" s="1054"/>
      <c r="T421" s="1054"/>
      <c r="U421" s="1054"/>
      <c r="V421" s="1054"/>
      <c r="W421" s="1054"/>
      <c r="X421" s="1054"/>
      <c r="Y421" s="1054"/>
    </row>
    <row r="422" spans="1:25">
      <c r="A422" s="1053"/>
      <c r="B422" s="1053"/>
      <c r="C422" s="1053"/>
      <c r="D422" s="1053"/>
      <c r="E422" s="1053"/>
      <c r="R422" s="1054"/>
      <c r="S422" s="1054"/>
      <c r="T422" s="1054"/>
      <c r="U422" s="1054"/>
      <c r="V422" s="1054"/>
      <c r="W422" s="1054"/>
      <c r="X422" s="1054"/>
      <c r="Y422" s="1054"/>
    </row>
    <row r="423" spans="1:25">
      <c r="A423" s="1053"/>
      <c r="B423" s="1053"/>
      <c r="C423" s="1053"/>
      <c r="D423" s="1053"/>
      <c r="E423" s="1053"/>
      <c r="R423" s="1054"/>
      <c r="S423" s="1054"/>
      <c r="T423" s="1054"/>
      <c r="U423" s="1054"/>
      <c r="V423" s="1054"/>
      <c r="W423" s="1054"/>
      <c r="X423" s="1054"/>
      <c r="Y423" s="1054"/>
    </row>
    <row r="424" spans="1:25">
      <c r="A424" s="1053"/>
      <c r="B424" s="1053"/>
      <c r="C424" s="1053"/>
      <c r="D424" s="1053"/>
      <c r="E424" s="1053"/>
      <c r="R424" s="1054"/>
      <c r="S424" s="1054"/>
      <c r="T424" s="1054"/>
      <c r="U424" s="1054"/>
      <c r="V424" s="1054"/>
      <c r="W424" s="1054"/>
      <c r="X424" s="1054"/>
      <c r="Y424" s="1054"/>
    </row>
    <row r="425" spans="1:25">
      <c r="A425" s="1053"/>
      <c r="B425" s="1053"/>
      <c r="C425" s="1053"/>
      <c r="D425" s="1053"/>
      <c r="E425" s="1053"/>
      <c r="R425" s="1054"/>
      <c r="S425" s="1054"/>
      <c r="T425" s="1054"/>
      <c r="U425" s="1054"/>
      <c r="V425" s="1054"/>
      <c r="W425" s="1054"/>
      <c r="X425" s="1054"/>
      <c r="Y425" s="1054"/>
    </row>
    <row r="426" spans="1:25">
      <c r="A426" s="1053"/>
      <c r="B426" s="1053"/>
      <c r="C426" s="1053"/>
      <c r="D426" s="1053"/>
      <c r="E426" s="1053"/>
      <c r="R426" s="1054"/>
      <c r="S426" s="1054"/>
      <c r="T426" s="1054"/>
      <c r="U426" s="1054"/>
      <c r="V426" s="1054"/>
      <c r="W426" s="1054"/>
      <c r="X426" s="1054"/>
      <c r="Y426" s="1054"/>
    </row>
    <row r="427" spans="1:25">
      <c r="A427" s="1053"/>
      <c r="B427" s="1053"/>
      <c r="C427" s="1053"/>
      <c r="D427" s="1053"/>
      <c r="E427" s="1053"/>
      <c r="R427" s="1054"/>
      <c r="S427" s="1054"/>
      <c r="T427" s="1054"/>
      <c r="U427" s="1054"/>
      <c r="V427" s="1054"/>
      <c r="W427" s="1054"/>
      <c r="X427" s="1054"/>
      <c r="Y427" s="1054"/>
    </row>
    <row r="428" spans="1:25">
      <c r="A428" s="1053"/>
      <c r="B428" s="1053"/>
      <c r="C428" s="1053"/>
      <c r="D428" s="1053"/>
      <c r="E428" s="1053"/>
      <c r="R428" s="1054"/>
      <c r="S428" s="1054"/>
      <c r="T428" s="1054"/>
      <c r="U428" s="1054"/>
      <c r="V428" s="1054"/>
      <c r="W428" s="1054"/>
      <c r="X428" s="1054"/>
      <c r="Y428" s="1054"/>
    </row>
    <row r="429" spans="1:25">
      <c r="A429" s="1053"/>
      <c r="B429" s="1053"/>
      <c r="C429" s="1053"/>
      <c r="D429" s="1053"/>
      <c r="E429" s="1053"/>
      <c r="R429" s="1054"/>
      <c r="S429" s="1054"/>
      <c r="T429" s="1054"/>
      <c r="U429" s="1054"/>
      <c r="V429" s="1054"/>
      <c r="W429" s="1054"/>
      <c r="X429" s="1054"/>
      <c r="Y429" s="1054"/>
    </row>
    <row r="430" spans="1:25">
      <c r="A430" s="1053"/>
      <c r="B430" s="1053"/>
      <c r="C430" s="1053"/>
      <c r="D430" s="1053"/>
      <c r="E430" s="1053"/>
      <c r="R430" s="1054"/>
      <c r="S430" s="1054"/>
      <c r="T430" s="1054"/>
      <c r="U430" s="1054"/>
      <c r="V430" s="1054"/>
      <c r="W430" s="1054"/>
      <c r="X430" s="1054"/>
      <c r="Y430" s="1054"/>
    </row>
    <row r="431" spans="1:25">
      <c r="A431" s="1053"/>
      <c r="B431" s="1053"/>
      <c r="C431" s="1053"/>
      <c r="D431" s="1053"/>
      <c r="E431" s="1053"/>
      <c r="R431" s="1054"/>
      <c r="S431" s="1054"/>
      <c r="T431" s="1054"/>
      <c r="U431" s="1054"/>
      <c r="V431" s="1054"/>
      <c r="W431" s="1054"/>
      <c r="X431" s="1054"/>
      <c r="Y431" s="1054"/>
    </row>
    <row r="432" spans="1:25">
      <c r="A432" s="1053"/>
      <c r="B432" s="1053"/>
      <c r="C432" s="1053"/>
      <c r="D432" s="1053"/>
      <c r="E432" s="1053"/>
      <c r="R432" s="1054"/>
      <c r="S432" s="1054"/>
      <c r="T432" s="1054"/>
      <c r="U432" s="1054"/>
      <c r="V432" s="1054"/>
      <c r="W432" s="1054"/>
      <c r="X432" s="1054"/>
      <c r="Y432" s="1054"/>
    </row>
    <row r="433" spans="1:25">
      <c r="A433" s="1053"/>
      <c r="B433" s="1053"/>
      <c r="C433" s="1053"/>
      <c r="D433" s="1053"/>
      <c r="E433" s="1053"/>
      <c r="R433" s="1054"/>
      <c r="S433" s="1054"/>
      <c r="T433" s="1054"/>
      <c r="U433" s="1054"/>
      <c r="V433" s="1054"/>
      <c r="W433" s="1054"/>
      <c r="X433" s="1054"/>
      <c r="Y433" s="1054"/>
    </row>
    <row r="434" spans="1:25">
      <c r="A434" s="1053"/>
      <c r="B434" s="1053"/>
      <c r="C434" s="1053"/>
      <c r="D434" s="1053"/>
      <c r="E434" s="1053"/>
      <c r="R434" s="1054"/>
      <c r="S434" s="1054"/>
      <c r="T434" s="1054"/>
      <c r="U434" s="1054"/>
      <c r="V434" s="1054"/>
      <c r="W434" s="1054"/>
      <c r="X434" s="1054"/>
      <c r="Y434" s="1054"/>
    </row>
    <row r="435" spans="1:25">
      <c r="A435" s="1053"/>
      <c r="B435" s="1053"/>
      <c r="C435" s="1053"/>
      <c r="D435" s="1053"/>
      <c r="E435" s="1053"/>
      <c r="R435" s="1054"/>
      <c r="S435" s="1054"/>
      <c r="T435" s="1054"/>
      <c r="U435" s="1054"/>
      <c r="V435" s="1054"/>
      <c r="W435" s="1054"/>
      <c r="X435" s="1054"/>
      <c r="Y435" s="1054"/>
    </row>
    <row r="436" spans="1:25">
      <c r="A436" s="1053"/>
      <c r="B436" s="1053"/>
      <c r="C436" s="1053"/>
      <c r="D436" s="1053"/>
      <c r="E436" s="1053"/>
      <c r="R436" s="1054"/>
      <c r="S436" s="1054"/>
      <c r="T436" s="1054"/>
      <c r="U436" s="1054"/>
      <c r="V436" s="1054"/>
      <c r="W436" s="1054"/>
      <c r="X436" s="1054"/>
      <c r="Y436" s="1054"/>
    </row>
    <row r="437" spans="1:25">
      <c r="A437" s="1053"/>
      <c r="B437" s="1053"/>
      <c r="C437" s="1053"/>
      <c r="D437" s="1053"/>
      <c r="E437" s="1053"/>
      <c r="R437" s="1054"/>
      <c r="S437" s="1054"/>
      <c r="T437" s="1054"/>
      <c r="U437" s="1054"/>
      <c r="V437" s="1054"/>
      <c r="W437" s="1054"/>
      <c r="X437" s="1054"/>
      <c r="Y437" s="1054"/>
    </row>
    <row r="438" spans="1:25">
      <c r="A438" s="1053"/>
      <c r="B438" s="1053"/>
      <c r="C438" s="1053"/>
      <c r="D438" s="1053"/>
      <c r="E438" s="1053"/>
      <c r="R438" s="1054"/>
      <c r="S438" s="1054"/>
      <c r="T438" s="1054"/>
      <c r="U438" s="1054"/>
      <c r="V438" s="1054"/>
      <c r="W438" s="1054"/>
      <c r="X438" s="1054"/>
      <c r="Y438" s="1054"/>
    </row>
    <row r="439" spans="1:25">
      <c r="A439" s="1053"/>
      <c r="B439" s="1053"/>
      <c r="C439" s="1053"/>
      <c r="D439" s="1053"/>
      <c r="E439" s="1053"/>
      <c r="R439" s="1054"/>
      <c r="S439" s="1054"/>
      <c r="T439" s="1054"/>
      <c r="U439" s="1054"/>
      <c r="V439" s="1054"/>
      <c r="W439" s="1054"/>
      <c r="X439" s="1054"/>
      <c r="Y439" s="1054"/>
    </row>
    <row r="440" spans="1:25">
      <c r="A440" s="1053"/>
      <c r="B440" s="1053"/>
      <c r="C440" s="1053"/>
      <c r="D440" s="1053"/>
      <c r="E440" s="1053"/>
      <c r="R440" s="1054"/>
      <c r="S440" s="1054"/>
      <c r="T440" s="1054"/>
      <c r="U440" s="1054"/>
      <c r="V440" s="1054"/>
      <c r="W440" s="1054"/>
      <c r="X440" s="1054"/>
      <c r="Y440" s="1054"/>
    </row>
    <row r="441" spans="1:25">
      <c r="A441" s="1053"/>
      <c r="B441" s="1053"/>
      <c r="C441" s="1053"/>
      <c r="D441" s="1053"/>
      <c r="E441" s="1053"/>
      <c r="R441" s="1054"/>
      <c r="S441" s="1054"/>
      <c r="T441" s="1054"/>
      <c r="U441" s="1054"/>
      <c r="V441" s="1054"/>
      <c r="W441" s="1054"/>
      <c r="X441" s="1054"/>
      <c r="Y441" s="1054"/>
    </row>
    <row r="442" spans="1:25">
      <c r="A442" s="1053"/>
      <c r="B442" s="1053"/>
      <c r="C442" s="1053"/>
      <c r="D442" s="1053"/>
      <c r="E442" s="1053"/>
      <c r="R442" s="1054"/>
      <c r="S442" s="1054"/>
      <c r="T442" s="1054"/>
      <c r="U442" s="1054"/>
      <c r="V442" s="1054"/>
      <c r="W442" s="1054"/>
      <c r="X442" s="1054"/>
      <c r="Y442" s="1054"/>
    </row>
    <row r="443" spans="1:25">
      <c r="A443" s="1053"/>
      <c r="B443" s="1053"/>
      <c r="C443" s="1053"/>
      <c r="D443" s="1053"/>
      <c r="E443" s="1053"/>
      <c r="R443" s="1054"/>
      <c r="S443" s="1054"/>
      <c r="T443" s="1054"/>
      <c r="U443" s="1054"/>
      <c r="V443" s="1054"/>
      <c r="W443" s="1054"/>
      <c r="X443" s="1054"/>
      <c r="Y443" s="1054"/>
    </row>
    <row r="444" spans="1:25">
      <c r="A444" s="1053"/>
      <c r="B444" s="1053"/>
      <c r="C444" s="1053"/>
      <c r="D444" s="1053"/>
      <c r="E444" s="1053"/>
      <c r="R444" s="1054"/>
      <c r="S444" s="1054"/>
      <c r="T444" s="1054"/>
      <c r="U444" s="1054"/>
      <c r="V444" s="1054"/>
      <c r="W444" s="1054"/>
      <c r="X444" s="1054"/>
      <c r="Y444" s="1054"/>
    </row>
    <row r="445" spans="1:25">
      <c r="A445" s="1053"/>
      <c r="B445" s="1053"/>
      <c r="C445" s="1053"/>
      <c r="D445" s="1053"/>
      <c r="E445" s="1053"/>
      <c r="R445" s="1054"/>
      <c r="S445" s="1054"/>
      <c r="T445" s="1054"/>
      <c r="U445" s="1054"/>
      <c r="V445" s="1054"/>
      <c r="W445" s="1054"/>
      <c r="X445" s="1054"/>
      <c r="Y445" s="1054"/>
    </row>
    <row r="446" spans="1:25">
      <c r="A446" s="1053"/>
      <c r="B446" s="1053"/>
      <c r="C446" s="1053"/>
      <c r="D446" s="1053"/>
      <c r="E446" s="1053"/>
      <c r="R446" s="1054"/>
      <c r="S446" s="1054"/>
      <c r="T446" s="1054"/>
      <c r="U446" s="1054"/>
      <c r="V446" s="1054"/>
      <c r="W446" s="1054"/>
      <c r="X446" s="1054"/>
      <c r="Y446" s="1054"/>
    </row>
    <row r="447" spans="1:25">
      <c r="A447" s="1053"/>
      <c r="B447" s="1053"/>
      <c r="C447" s="1053"/>
      <c r="D447" s="1053"/>
      <c r="E447" s="1053"/>
      <c r="R447" s="1054"/>
      <c r="S447" s="1054"/>
      <c r="T447" s="1054"/>
      <c r="U447" s="1054"/>
      <c r="V447" s="1054"/>
      <c r="W447" s="1054"/>
      <c r="X447" s="1054"/>
      <c r="Y447" s="1054"/>
    </row>
    <row r="448" spans="1:25">
      <c r="A448" s="1053"/>
      <c r="B448" s="1053"/>
      <c r="C448" s="1053"/>
      <c r="D448" s="1053"/>
      <c r="E448" s="1053"/>
      <c r="R448" s="1054"/>
      <c r="S448" s="1054"/>
      <c r="T448" s="1054"/>
      <c r="U448" s="1054"/>
      <c r="V448" s="1054"/>
      <c r="W448" s="1054"/>
      <c r="X448" s="1054"/>
      <c r="Y448" s="1054"/>
    </row>
    <row r="449" spans="1:25">
      <c r="A449" s="1053"/>
      <c r="B449" s="1053"/>
      <c r="C449" s="1053"/>
      <c r="D449" s="1053"/>
      <c r="E449" s="1053"/>
      <c r="R449" s="1054"/>
      <c r="S449" s="1054"/>
      <c r="T449" s="1054"/>
      <c r="U449" s="1054"/>
      <c r="V449" s="1054"/>
      <c r="W449" s="1054"/>
      <c r="X449" s="1054"/>
      <c r="Y449" s="1054"/>
    </row>
    <row r="450" spans="1:25">
      <c r="A450" s="1053"/>
      <c r="B450" s="1053"/>
      <c r="C450" s="1053"/>
      <c r="D450" s="1053"/>
      <c r="E450" s="1053"/>
      <c r="R450" s="1054"/>
      <c r="S450" s="1054"/>
      <c r="T450" s="1054"/>
      <c r="U450" s="1054"/>
      <c r="V450" s="1054"/>
      <c r="W450" s="1054"/>
      <c r="X450" s="1054"/>
      <c r="Y450" s="1054"/>
    </row>
    <row r="451" spans="1:25">
      <c r="A451" s="1053"/>
      <c r="B451" s="1053"/>
      <c r="C451" s="1053"/>
      <c r="D451" s="1053"/>
      <c r="E451" s="1053"/>
      <c r="R451" s="1054"/>
      <c r="S451" s="1054"/>
      <c r="T451" s="1054"/>
      <c r="U451" s="1054"/>
      <c r="V451" s="1054"/>
      <c r="W451" s="1054"/>
      <c r="X451" s="1054"/>
      <c r="Y451" s="1054"/>
    </row>
    <row r="452" spans="1:25">
      <c r="A452" s="1053"/>
      <c r="B452" s="1053"/>
      <c r="C452" s="1053"/>
      <c r="D452" s="1053"/>
      <c r="E452" s="1053"/>
      <c r="R452" s="1054"/>
      <c r="S452" s="1054"/>
      <c r="T452" s="1054"/>
      <c r="U452" s="1054"/>
      <c r="V452" s="1054"/>
      <c r="W452" s="1054"/>
      <c r="X452" s="1054"/>
      <c r="Y452" s="1054"/>
    </row>
    <row r="453" spans="1:25">
      <c r="A453" s="1053"/>
      <c r="B453" s="1053"/>
      <c r="C453" s="1053"/>
      <c r="D453" s="1053"/>
      <c r="E453" s="1053"/>
      <c r="R453" s="1054"/>
      <c r="S453" s="1054"/>
      <c r="T453" s="1054"/>
      <c r="U453" s="1054"/>
      <c r="V453" s="1054"/>
      <c r="W453" s="1054"/>
      <c r="X453" s="1054"/>
      <c r="Y453" s="1054"/>
    </row>
    <row r="454" spans="1:25">
      <c r="A454" s="1053"/>
      <c r="B454" s="1053"/>
      <c r="C454" s="1053"/>
      <c r="D454" s="1053"/>
      <c r="E454" s="1053"/>
      <c r="R454" s="1054"/>
      <c r="S454" s="1054"/>
      <c r="T454" s="1054"/>
      <c r="U454" s="1054"/>
      <c r="V454" s="1054"/>
      <c r="W454" s="1054"/>
      <c r="X454" s="1054"/>
      <c r="Y454" s="1054"/>
    </row>
    <row r="455" spans="1:25">
      <c r="A455" s="1053"/>
      <c r="B455" s="1053"/>
      <c r="C455" s="1053"/>
      <c r="D455" s="1053"/>
      <c r="E455" s="1053"/>
      <c r="R455" s="1054"/>
      <c r="S455" s="1054"/>
      <c r="T455" s="1054"/>
      <c r="U455" s="1054"/>
      <c r="V455" s="1054"/>
      <c r="W455" s="1054"/>
      <c r="X455" s="1054"/>
      <c r="Y455" s="1054"/>
    </row>
    <row r="456" spans="1:25">
      <c r="A456" s="1053"/>
      <c r="B456" s="1053"/>
      <c r="C456" s="1053"/>
      <c r="D456" s="1053"/>
      <c r="E456" s="1053"/>
      <c r="R456" s="1054"/>
      <c r="S456" s="1054"/>
      <c r="T456" s="1054"/>
      <c r="U456" s="1054"/>
      <c r="V456" s="1054"/>
      <c r="W456" s="1054"/>
      <c r="X456" s="1054"/>
      <c r="Y456" s="1054"/>
    </row>
    <row r="457" spans="1:25">
      <c r="A457" s="1053"/>
      <c r="B457" s="1053"/>
      <c r="C457" s="1053"/>
      <c r="D457" s="1053"/>
      <c r="E457" s="1053"/>
      <c r="R457" s="1054"/>
      <c r="S457" s="1054"/>
      <c r="T457" s="1054"/>
      <c r="U457" s="1054"/>
      <c r="V457" s="1054"/>
      <c r="W457" s="1054"/>
      <c r="X457" s="1054"/>
      <c r="Y457" s="1054"/>
    </row>
    <row r="458" spans="1:25">
      <c r="A458" s="1053"/>
      <c r="B458" s="1053"/>
      <c r="C458" s="1053"/>
      <c r="D458" s="1053"/>
      <c r="E458" s="1053"/>
      <c r="R458" s="1054"/>
      <c r="S458" s="1054"/>
      <c r="T458" s="1054"/>
      <c r="U458" s="1054"/>
      <c r="V458" s="1054"/>
      <c r="W458" s="1054"/>
      <c r="X458" s="1054"/>
      <c r="Y458" s="1054"/>
    </row>
    <row r="459" spans="1:25">
      <c r="A459" s="1053"/>
      <c r="B459" s="1053"/>
      <c r="C459" s="1053"/>
      <c r="D459" s="1053"/>
      <c r="E459" s="1053"/>
      <c r="R459" s="1054"/>
      <c r="S459" s="1054"/>
      <c r="T459" s="1054"/>
      <c r="U459" s="1054"/>
      <c r="V459" s="1054"/>
      <c r="W459" s="1054"/>
      <c r="X459" s="1054"/>
      <c r="Y459" s="1054"/>
    </row>
    <row r="460" spans="1:25">
      <c r="A460" s="1053"/>
      <c r="B460" s="1053"/>
      <c r="C460" s="1053"/>
      <c r="D460" s="1053"/>
      <c r="E460" s="1053"/>
      <c r="R460" s="1054"/>
      <c r="S460" s="1054"/>
      <c r="T460" s="1054"/>
      <c r="U460" s="1054"/>
      <c r="V460" s="1054"/>
      <c r="W460" s="1054"/>
      <c r="X460" s="1054"/>
      <c r="Y460" s="1054"/>
    </row>
    <row r="461" spans="1:25">
      <c r="A461" s="1053"/>
      <c r="B461" s="1053"/>
      <c r="C461" s="1053"/>
      <c r="D461" s="1053"/>
      <c r="E461" s="1053"/>
      <c r="R461" s="1054"/>
      <c r="S461" s="1054"/>
      <c r="T461" s="1054"/>
      <c r="U461" s="1054"/>
      <c r="V461" s="1054"/>
      <c r="W461" s="1054"/>
      <c r="X461" s="1054"/>
      <c r="Y461" s="1054"/>
    </row>
    <row r="462" spans="1:25">
      <c r="A462" s="1053"/>
      <c r="B462" s="1053"/>
      <c r="C462" s="1053"/>
      <c r="D462" s="1053"/>
      <c r="E462" s="1053"/>
      <c r="R462" s="1054"/>
      <c r="S462" s="1054"/>
      <c r="T462" s="1054"/>
      <c r="U462" s="1054"/>
      <c r="V462" s="1054"/>
      <c r="W462" s="1054"/>
      <c r="X462" s="1054"/>
      <c r="Y462" s="1054"/>
    </row>
    <row r="463" spans="1:25">
      <c r="A463" s="1053"/>
      <c r="B463" s="1053"/>
      <c r="C463" s="1053"/>
      <c r="D463" s="1053"/>
      <c r="E463" s="1053"/>
      <c r="R463" s="1054"/>
      <c r="S463" s="1054"/>
      <c r="T463" s="1054"/>
      <c r="U463" s="1054"/>
      <c r="V463" s="1054"/>
      <c r="W463" s="1054"/>
      <c r="X463" s="1054"/>
      <c r="Y463" s="1054"/>
    </row>
    <row r="464" spans="1:25">
      <c r="A464" s="1053"/>
      <c r="B464" s="1053"/>
      <c r="C464" s="1053"/>
      <c r="D464" s="1053"/>
      <c r="E464" s="1053"/>
      <c r="R464" s="1054"/>
      <c r="S464" s="1054"/>
      <c r="T464" s="1054"/>
      <c r="U464" s="1054"/>
      <c r="V464" s="1054"/>
      <c r="W464" s="1054"/>
      <c r="X464" s="1054"/>
      <c r="Y464" s="1054"/>
    </row>
    <row r="465" spans="1:25">
      <c r="A465" s="1053"/>
      <c r="B465" s="1053"/>
      <c r="C465" s="1053"/>
      <c r="D465" s="1053"/>
      <c r="E465" s="1053"/>
      <c r="R465" s="1054"/>
      <c r="S465" s="1054"/>
      <c r="T465" s="1054"/>
      <c r="U465" s="1054"/>
      <c r="V465" s="1054"/>
      <c r="W465" s="1054"/>
      <c r="X465" s="1054"/>
      <c r="Y465" s="1054"/>
    </row>
    <row r="466" spans="1:25">
      <c r="A466" s="1053"/>
      <c r="B466" s="1053"/>
      <c r="C466" s="1053"/>
      <c r="D466" s="1053"/>
      <c r="E466" s="1053"/>
      <c r="R466" s="1054"/>
      <c r="S466" s="1054"/>
      <c r="T466" s="1054"/>
      <c r="U466" s="1054"/>
      <c r="V466" s="1054"/>
      <c r="W466" s="1054"/>
      <c r="X466" s="1054"/>
      <c r="Y466" s="1054"/>
    </row>
    <row r="467" spans="1:25">
      <c r="A467" s="1053"/>
      <c r="B467" s="1053"/>
      <c r="C467" s="1053"/>
      <c r="D467" s="1053"/>
      <c r="E467" s="1053"/>
      <c r="R467" s="1054"/>
      <c r="S467" s="1054"/>
      <c r="T467" s="1054"/>
      <c r="U467" s="1054"/>
      <c r="V467" s="1054"/>
      <c r="W467" s="1054"/>
      <c r="X467" s="1054"/>
      <c r="Y467" s="1054"/>
    </row>
    <row r="468" spans="1:25">
      <c r="A468" s="1053"/>
      <c r="B468" s="1053"/>
      <c r="C468" s="1053"/>
      <c r="D468" s="1053"/>
      <c r="E468" s="1053"/>
      <c r="R468" s="1054"/>
      <c r="S468" s="1054"/>
      <c r="T468" s="1054"/>
      <c r="U468" s="1054"/>
      <c r="V468" s="1054"/>
      <c r="W468" s="1054"/>
      <c r="X468" s="1054"/>
      <c r="Y468" s="1054"/>
    </row>
    <row r="469" spans="1:25">
      <c r="A469" s="1053"/>
      <c r="B469" s="1053"/>
      <c r="C469" s="1053"/>
      <c r="D469" s="1053"/>
      <c r="E469" s="1053"/>
      <c r="R469" s="1054"/>
      <c r="S469" s="1054"/>
      <c r="T469" s="1054"/>
      <c r="U469" s="1054"/>
      <c r="V469" s="1054"/>
      <c r="W469" s="1054"/>
      <c r="X469" s="1054"/>
      <c r="Y469" s="1054"/>
    </row>
    <row r="470" spans="1:25">
      <c r="A470" s="1053"/>
      <c r="B470" s="1053"/>
      <c r="C470" s="1053"/>
      <c r="D470" s="1053"/>
      <c r="E470" s="1053"/>
      <c r="R470" s="1054"/>
      <c r="S470" s="1054"/>
      <c r="T470" s="1054"/>
      <c r="U470" s="1054"/>
      <c r="V470" s="1054"/>
      <c r="W470" s="1054"/>
      <c r="X470" s="1054"/>
      <c r="Y470" s="1054"/>
    </row>
    <row r="471" spans="1:25">
      <c r="A471" s="1053"/>
      <c r="B471" s="1053"/>
      <c r="C471" s="1053"/>
      <c r="D471" s="1053"/>
      <c r="E471" s="1053"/>
      <c r="R471" s="1054"/>
      <c r="S471" s="1054"/>
      <c r="T471" s="1054"/>
      <c r="U471" s="1054"/>
      <c r="V471" s="1054"/>
      <c r="W471" s="1054"/>
      <c r="X471" s="1054"/>
      <c r="Y471" s="1054"/>
    </row>
    <row r="472" spans="1:25">
      <c r="A472" s="1053"/>
      <c r="B472" s="1053"/>
      <c r="C472" s="1053"/>
      <c r="D472" s="1053"/>
      <c r="E472" s="1053"/>
      <c r="R472" s="1054"/>
      <c r="S472" s="1054"/>
      <c r="T472" s="1054"/>
      <c r="U472" s="1054"/>
      <c r="V472" s="1054"/>
      <c r="W472" s="1054"/>
      <c r="X472" s="1054"/>
      <c r="Y472" s="1054"/>
    </row>
    <row r="473" spans="1:25">
      <c r="A473" s="1053"/>
      <c r="B473" s="1053"/>
      <c r="C473" s="1053"/>
      <c r="D473" s="1053"/>
      <c r="E473" s="1053"/>
      <c r="R473" s="1054"/>
      <c r="S473" s="1054"/>
      <c r="T473" s="1054"/>
      <c r="U473" s="1054"/>
      <c r="V473" s="1054"/>
      <c r="W473" s="1054"/>
      <c r="X473" s="1054"/>
      <c r="Y473" s="1054"/>
    </row>
    <row r="474" spans="1:25">
      <c r="A474" s="1053"/>
      <c r="B474" s="1053"/>
      <c r="C474" s="1053"/>
      <c r="D474" s="1053"/>
      <c r="E474" s="1053"/>
      <c r="R474" s="1054"/>
      <c r="S474" s="1054"/>
      <c r="T474" s="1054"/>
      <c r="U474" s="1054"/>
      <c r="V474" s="1054"/>
      <c r="W474" s="1054"/>
      <c r="X474" s="1054"/>
      <c r="Y474" s="1054"/>
    </row>
    <row r="475" spans="1:25">
      <c r="A475" s="1053"/>
      <c r="B475" s="1053"/>
      <c r="C475" s="1053"/>
      <c r="D475" s="1053"/>
      <c r="E475" s="1053"/>
      <c r="R475" s="1054"/>
      <c r="S475" s="1054"/>
      <c r="T475" s="1054"/>
      <c r="U475" s="1054"/>
      <c r="V475" s="1054"/>
      <c r="W475" s="1054"/>
      <c r="X475" s="1054"/>
      <c r="Y475" s="1054"/>
    </row>
    <row r="476" spans="1:25">
      <c r="A476" s="1053"/>
      <c r="B476" s="1053"/>
      <c r="C476" s="1053"/>
      <c r="D476" s="1053"/>
      <c r="E476" s="1053"/>
      <c r="R476" s="1054"/>
      <c r="S476" s="1054"/>
      <c r="T476" s="1054"/>
      <c r="U476" s="1054"/>
      <c r="V476" s="1054"/>
      <c r="W476" s="1054"/>
      <c r="X476" s="1054"/>
      <c r="Y476" s="1054"/>
    </row>
    <row r="477" spans="1:25">
      <c r="A477" s="1053"/>
      <c r="B477" s="1053"/>
      <c r="C477" s="1053"/>
      <c r="D477" s="1053"/>
      <c r="E477" s="1053"/>
      <c r="R477" s="1054"/>
      <c r="S477" s="1054"/>
      <c r="T477" s="1054"/>
      <c r="U477" s="1054"/>
      <c r="V477" s="1054"/>
      <c r="W477" s="1054"/>
      <c r="X477" s="1054"/>
      <c r="Y477" s="1054"/>
    </row>
    <row r="478" spans="1:25">
      <c r="A478" s="1053"/>
      <c r="B478" s="1053"/>
      <c r="C478" s="1053"/>
      <c r="D478" s="1053"/>
      <c r="E478" s="1053"/>
      <c r="R478" s="1054"/>
      <c r="S478" s="1054"/>
      <c r="T478" s="1054"/>
      <c r="U478" s="1054"/>
      <c r="V478" s="1054"/>
      <c r="W478" s="1054"/>
      <c r="X478" s="1054"/>
      <c r="Y478" s="1054"/>
    </row>
    <row r="479" spans="1:25">
      <c r="A479" s="1053"/>
      <c r="B479" s="1053"/>
      <c r="C479" s="1053"/>
      <c r="D479" s="1053"/>
      <c r="E479" s="1053"/>
      <c r="R479" s="1054"/>
      <c r="S479" s="1054"/>
      <c r="T479" s="1054"/>
      <c r="U479" s="1054"/>
      <c r="V479" s="1054"/>
      <c r="W479" s="1054"/>
      <c r="X479" s="1054"/>
      <c r="Y479" s="1054"/>
    </row>
    <row r="480" spans="1:25">
      <c r="A480" s="1053"/>
      <c r="B480" s="1053"/>
      <c r="C480" s="1053"/>
      <c r="D480" s="1053"/>
      <c r="E480" s="1053"/>
      <c r="R480" s="1054"/>
      <c r="S480" s="1054"/>
      <c r="T480" s="1054"/>
      <c r="U480" s="1054"/>
      <c r="V480" s="1054"/>
      <c r="W480" s="1054"/>
      <c r="X480" s="1054"/>
      <c r="Y480" s="1054"/>
    </row>
    <row r="481" spans="1:25">
      <c r="A481" s="1053"/>
      <c r="B481" s="1053"/>
      <c r="C481" s="1053"/>
      <c r="D481" s="1053"/>
      <c r="E481" s="1053"/>
      <c r="R481" s="1054"/>
      <c r="S481" s="1054"/>
      <c r="T481" s="1054"/>
      <c r="U481" s="1054"/>
      <c r="V481" s="1054"/>
      <c r="W481" s="1054"/>
      <c r="X481" s="1054"/>
      <c r="Y481" s="1054"/>
    </row>
    <row r="482" spans="1:25">
      <c r="A482" s="1053"/>
      <c r="B482" s="1053"/>
      <c r="C482" s="1053"/>
      <c r="D482" s="1053"/>
      <c r="E482" s="1053"/>
      <c r="R482" s="1054"/>
      <c r="S482" s="1054"/>
      <c r="T482" s="1054"/>
      <c r="U482" s="1054"/>
      <c r="V482" s="1054"/>
      <c r="W482" s="1054"/>
      <c r="X482" s="1054"/>
      <c r="Y482" s="1054"/>
    </row>
    <row r="483" spans="1:25">
      <c r="A483" s="1053"/>
      <c r="B483" s="1053"/>
      <c r="C483" s="1053"/>
      <c r="D483" s="1053"/>
      <c r="E483" s="1053"/>
      <c r="R483" s="1054"/>
      <c r="S483" s="1054"/>
      <c r="T483" s="1054"/>
      <c r="U483" s="1054"/>
      <c r="V483" s="1054"/>
      <c r="W483" s="1054"/>
      <c r="X483" s="1054"/>
      <c r="Y483" s="1054"/>
    </row>
    <row r="484" spans="1:25">
      <c r="A484" s="1053"/>
      <c r="B484" s="1053"/>
      <c r="C484" s="1053"/>
      <c r="D484" s="1053"/>
      <c r="E484" s="1053"/>
      <c r="R484" s="1054"/>
      <c r="S484" s="1054"/>
      <c r="T484" s="1054"/>
      <c r="U484" s="1054"/>
      <c r="V484" s="1054"/>
      <c r="W484" s="1054"/>
      <c r="X484" s="1054"/>
      <c r="Y484" s="1054"/>
    </row>
    <row r="485" spans="1:25">
      <c r="A485" s="1053"/>
      <c r="B485" s="1053"/>
      <c r="C485" s="1053"/>
      <c r="D485" s="1053"/>
      <c r="E485" s="1053"/>
      <c r="R485" s="1054"/>
      <c r="S485" s="1054"/>
      <c r="T485" s="1054"/>
      <c r="U485" s="1054"/>
      <c r="V485" s="1054"/>
      <c r="W485" s="1054"/>
      <c r="X485" s="1054"/>
      <c r="Y485" s="1054"/>
    </row>
    <row r="486" spans="1:25">
      <c r="A486" s="1053"/>
      <c r="B486" s="1053"/>
      <c r="C486" s="1053"/>
      <c r="D486" s="1053"/>
      <c r="E486" s="1053"/>
      <c r="R486" s="1054"/>
      <c r="S486" s="1054"/>
      <c r="T486" s="1054"/>
      <c r="U486" s="1054"/>
      <c r="V486" s="1054"/>
      <c r="W486" s="1054"/>
      <c r="X486" s="1054"/>
      <c r="Y486" s="1054"/>
    </row>
    <row r="487" spans="1:25">
      <c r="A487" s="1053"/>
      <c r="B487" s="1053"/>
      <c r="C487" s="1053"/>
      <c r="D487" s="1053"/>
      <c r="E487" s="1053"/>
      <c r="R487" s="1054"/>
      <c r="S487" s="1054"/>
      <c r="T487" s="1054"/>
      <c r="U487" s="1054"/>
      <c r="V487" s="1054"/>
      <c r="W487" s="1054"/>
      <c r="X487" s="1054"/>
      <c r="Y487" s="1054"/>
    </row>
    <row r="488" spans="1:25">
      <c r="A488" s="1053"/>
      <c r="B488" s="1053"/>
      <c r="C488" s="1053"/>
      <c r="D488" s="1053"/>
      <c r="E488" s="1053"/>
      <c r="R488" s="1054"/>
      <c r="S488" s="1054"/>
      <c r="T488" s="1054"/>
      <c r="U488" s="1054"/>
      <c r="V488" s="1054"/>
      <c r="W488" s="1054"/>
      <c r="X488" s="1054"/>
      <c r="Y488" s="1054"/>
    </row>
    <row r="489" spans="1:25">
      <c r="A489" s="1053"/>
      <c r="B489" s="1053"/>
      <c r="C489" s="1053"/>
      <c r="D489" s="1053"/>
      <c r="E489" s="1053"/>
      <c r="R489" s="1054"/>
      <c r="S489" s="1054"/>
      <c r="T489" s="1054"/>
      <c r="U489" s="1054"/>
      <c r="V489" s="1054"/>
      <c r="W489" s="1054"/>
      <c r="X489" s="1054"/>
      <c r="Y489" s="1054"/>
    </row>
    <row r="490" spans="1:25">
      <c r="A490" s="1053"/>
      <c r="B490" s="1053"/>
      <c r="C490" s="1053"/>
      <c r="D490" s="1053"/>
      <c r="E490" s="1053"/>
      <c r="R490" s="1054"/>
      <c r="S490" s="1054"/>
      <c r="T490" s="1054"/>
      <c r="U490" s="1054"/>
      <c r="V490" s="1054"/>
      <c r="W490" s="1054"/>
      <c r="X490" s="1054"/>
      <c r="Y490" s="1054"/>
    </row>
    <row r="491" spans="1:25">
      <c r="A491" s="1053"/>
      <c r="B491" s="1053"/>
      <c r="C491" s="1053"/>
      <c r="D491" s="1053"/>
      <c r="E491" s="1053"/>
      <c r="R491" s="1054"/>
      <c r="S491" s="1054"/>
      <c r="T491" s="1054"/>
      <c r="U491" s="1054"/>
      <c r="V491" s="1054"/>
      <c r="W491" s="1054"/>
      <c r="X491" s="1054"/>
      <c r="Y491" s="1054"/>
    </row>
    <row r="492" spans="1:25">
      <c r="A492" s="1053"/>
      <c r="B492" s="1053"/>
      <c r="C492" s="1053"/>
      <c r="D492" s="1053"/>
      <c r="E492" s="1053"/>
      <c r="R492" s="1054"/>
      <c r="S492" s="1054"/>
      <c r="T492" s="1054"/>
      <c r="U492" s="1054"/>
      <c r="V492" s="1054"/>
      <c r="W492" s="1054"/>
      <c r="X492" s="1054"/>
      <c r="Y492" s="1054"/>
    </row>
    <row r="493" spans="1:25">
      <c r="A493" s="1053"/>
      <c r="B493" s="1053"/>
      <c r="C493" s="1053"/>
      <c r="D493" s="1053"/>
      <c r="E493" s="1053"/>
      <c r="R493" s="1054"/>
      <c r="S493" s="1054"/>
      <c r="T493" s="1054"/>
      <c r="U493" s="1054"/>
      <c r="V493" s="1054"/>
      <c r="W493" s="1054"/>
      <c r="X493" s="1054"/>
      <c r="Y493" s="1054"/>
    </row>
    <row r="494" spans="1:25">
      <c r="A494" s="1053"/>
      <c r="B494" s="1053"/>
      <c r="C494" s="1053"/>
      <c r="D494" s="1053"/>
      <c r="E494" s="1053"/>
      <c r="R494" s="1054"/>
      <c r="S494" s="1054"/>
      <c r="T494" s="1054"/>
      <c r="U494" s="1054"/>
      <c r="V494" s="1054"/>
      <c r="W494" s="1054"/>
      <c r="X494" s="1054"/>
      <c r="Y494" s="1054"/>
    </row>
    <row r="495" spans="1:25">
      <c r="A495" s="1053"/>
      <c r="B495" s="1053"/>
      <c r="C495" s="1053"/>
      <c r="D495" s="1053"/>
      <c r="E495" s="1053"/>
      <c r="R495" s="1054"/>
      <c r="S495" s="1054"/>
      <c r="T495" s="1054"/>
      <c r="U495" s="1054"/>
      <c r="V495" s="1054"/>
      <c r="W495" s="1054"/>
      <c r="X495" s="1054"/>
      <c r="Y495" s="1054"/>
    </row>
    <row r="496" spans="1:25">
      <c r="A496" s="1053"/>
      <c r="B496" s="1053"/>
      <c r="C496" s="1053"/>
      <c r="D496" s="1053"/>
      <c r="E496" s="1053"/>
      <c r="R496" s="1054"/>
      <c r="S496" s="1054"/>
      <c r="T496" s="1054"/>
      <c r="U496" s="1054"/>
      <c r="V496" s="1054"/>
      <c r="W496" s="1054"/>
      <c r="X496" s="1054"/>
      <c r="Y496" s="1054"/>
    </row>
    <row r="497" spans="1:25">
      <c r="A497" s="1053"/>
      <c r="B497" s="1053"/>
      <c r="C497" s="1053"/>
      <c r="D497" s="1053"/>
      <c r="E497" s="1053"/>
      <c r="R497" s="1054"/>
      <c r="S497" s="1054"/>
      <c r="T497" s="1054"/>
      <c r="U497" s="1054"/>
      <c r="V497" s="1054"/>
      <c r="W497" s="1054"/>
      <c r="X497" s="1054"/>
      <c r="Y497" s="1054"/>
    </row>
    <row r="498" spans="1:25">
      <c r="A498" s="1053"/>
      <c r="B498" s="1053"/>
      <c r="C498" s="1053"/>
      <c r="D498" s="1053"/>
      <c r="E498" s="1053"/>
      <c r="R498" s="1054"/>
      <c r="S498" s="1054"/>
      <c r="T498" s="1054"/>
      <c r="U498" s="1054"/>
      <c r="V498" s="1054"/>
      <c r="W498" s="1054"/>
      <c r="X498" s="1054"/>
      <c r="Y498" s="1054"/>
    </row>
    <row r="499" spans="1:25">
      <c r="A499" s="1053"/>
      <c r="B499" s="1053"/>
      <c r="C499" s="1053"/>
      <c r="D499" s="1053"/>
      <c r="E499" s="1053"/>
      <c r="R499" s="1054"/>
      <c r="S499" s="1054"/>
      <c r="T499" s="1054"/>
      <c r="U499" s="1054"/>
      <c r="V499" s="1054"/>
      <c r="W499" s="1054"/>
      <c r="X499" s="1054"/>
      <c r="Y499" s="1054"/>
    </row>
    <row r="500" spans="1:25">
      <c r="A500" s="1053"/>
      <c r="B500" s="1053"/>
      <c r="C500" s="1053"/>
      <c r="D500" s="1053"/>
      <c r="E500" s="1053"/>
      <c r="R500" s="1054"/>
      <c r="S500" s="1054"/>
      <c r="T500" s="1054"/>
      <c r="U500" s="1054"/>
      <c r="V500" s="1054"/>
      <c r="W500" s="1054"/>
      <c r="X500" s="1054"/>
      <c r="Y500" s="1054"/>
    </row>
    <row r="501" spans="1:25">
      <c r="A501" s="1053"/>
      <c r="B501" s="1053"/>
      <c r="C501" s="1053"/>
      <c r="D501" s="1053"/>
      <c r="E501" s="1053"/>
      <c r="R501" s="1054"/>
      <c r="S501" s="1054"/>
      <c r="T501" s="1054"/>
      <c r="U501" s="1054"/>
      <c r="V501" s="1054"/>
      <c r="W501" s="1054"/>
      <c r="X501" s="1054"/>
      <c r="Y501" s="1054"/>
    </row>
    <row r="502" spans="1:25">
      <c r="A502" s="1053"/>
      <c r="B502" s="1053"/>
      <c r="C502" s="1053"/>
      <c r="D502" s="1053"/>
      <c r="E502" s="1053"/>
      <c r="R502" s="1054"/>
      <c r="S502" s="1054"/>
      <c r="T502" s="1054"/>
      <c r="U502" s="1054"/>
      <c r="V502" s="1054"/>
      <c r="W502" s="1054"/>
      <c r="X502" s="1054"/>
      <c r="Y502" s="1054"/>
    </row>
    <row r="503" spans="1:25">
      <c r="A503" s="1053"/>
      <c r="B503" s="1053"/>
      <c r="C503" s="1053"/>
      <c r="D503" s="1053"/>
      <c r="E503" s="1053"/>
      <c r="R503" s="1054"/>
      <c r="S503" s="1054"/>
      <c r="T503" s="1054"/>
      <c r="U503" s="1054"/>
      <c r="V503" s="1054"/>
      <c r="W503" s="1054"/>
      <c r="X503" s="1054"/>
      <c r="Y503" s="1054"/>
    </row>
    <row r="504" spans="1:25">
      <c r="A504" s="1053"/>
      <c r="B504" s="1053"/>
      <c r="C504" s="1053"/>
      <c r="D504" s="1053"/>
      <c r="E504" s="1053"/>
      <c r="R504" s="1054"/>
      <c r="S504" s="1054"/>
      <c r="T504" s="1054"/>
      <c r="U504" s="1054"/>
      <c r="V504" s="1054"/>
      <c r="W504" s="1054"/>
      <c r="X504" s="1054"/>
      <c r="Y504" s="1054"/>
    </row>
    <row r="505" spans="1:25">
      <c r="A505" s="1053"/>
      <c r="B505" s="1053"/>
      <c r="C505" s="1053"/>
      <c r="D505" s="1053"/>
      <c r="E505" s="1053"/>
      <c r="R505" s="1054"/>
      <c r="S505" s="1054"/>
      <c r="T505" s="1054"/>
      <c r="U505" s="1054"/>
      <c r="V505" s="1054"/>
      <c r="W505" s="1054"/>
      <c r="X505" s="1054"/>
      <c r="Y505" s="1054"/>
    </row>
    <row r="506" spans="1:25">
      <c r="A506" s="1053"/>
      <c r="B506" s="1053"/>
      <c r="C506" s="1053"/>
      <c r="D506" s="1053"/>
      <c r="E506" s="1053"/>
      <c r="R506" s="1054"/>
      <c r="S506" s="1054"/>
      <c r="T506" s="1054"/>
      <c r="U506" s="1054"/>
      <c r="V506" s="1054"/>
      <c r="W506" s="1054"/>
      <c r="X506" s="1054"/>
      <c r="Y506" s="1054"/>
    </row>
    <row r="507" spans="1:25">
      <c r="A507" s="1053"/>
      <c r="B507" s="1053"/>
      <c r="C507" s="1053"/>
      <c r="D507" s="1053"/>
      <c r="E507" s="1053"/>
      <c r="R507" s="1054"/>
      <c r="S507" s="1054"/>
      <c r="T507" s="1054"/>
      <c r="U507" s="1054"/>
      <c r="V507" s="1054"/>
      <c r="W507" s="1054"/>
      <c r="X507" s="1054"/>
      <c r="Y507" s="1054"/>
    </row>
    <row r="508" spans="1:25">
      <c r="A508" s="1053"/>
      <c r="B508" s="1053"/>
      <c r="C508" s="1053"/>
      <c r="D508" s="1053"/>
      <c r="E508" s="1053"/>
      <c r="R508" s="1054"/>
      <c r="S508" s="1054"/>
      <c r="T508" s="1054"/>
      <c r="U508" s="1054"/>
      <c r="V508" s="1054"/>
      <c r="W508" s="1054"/>
      <c r="X508" s="1054"/>
      <c r="Y508" s="1054"/>
    </row>
    <row r="509" spans="1:25">
      <c r="A509" s="1053"/>
      <c r="B509" s="1053"/>
      <c r="C509" s="1053"/>
      <c r="D509" s="1053"/>
      <c r="E509" s="1053"/>
      <c r="R509" s="1054"/>
      <c r="S509" s="1054"/>
      <c r="T509" s="1054"/>
      <c r="U509" s="1054"/>
      <c r="V509" s="1054"/>
      <c r="W509" s="1054"/>
      <c r="X509" s="1054"/>
      <c r="Y509" s="1054"/>
    </row>
    <row r="510" spans="1:25">
      <c r="A510" s="1053"/>
      <c r="B510" s="1053"/>
      <c r="C510" s="1053"/>
      <c r="D510" s="1053"/>
      <c r="E510" s="1053"/>
      <c r="R510" s="1054"/>
      <c r="S510" s="1054"/>
      <c r="T510" s="1054"/>
      <c r="U510" s="1054"/>
      <c r="V510" s="1054"/>
      <c r="W510" s="1054"/>
      <c r="X510" s="1054"/>
      <c r="Y510" s="1054"/>
    </row>
    <row r="511" spans="1:25">
      <c r="A511" s="1053"/>
      <c r="B511" s="1053"/>
      <c r="C511" s="1053"/>
      <c r="D511" s="1053"/>
      <c r="E511" s="1053"/>
      <c r="R511" s="1054"/>
      <c r="S511" s="1054"/>
      <c r="T511" s="1054"/>
      <c r="U511" s="1054"/>
      <c r="V511" s="1054"/>
      <c r="W511" s="1054"/>
      <c r="X511" s="1054"/>
      <c r="Y511" s="1054"/>
    </row>
    <row r="512" spans="1:25">
      <c r="A512" s="1053"/>
      <c r="B512" s="1053"/>
      <c r="C512" s="1053"/>
      <c r="D512" s="1053"/>
      <c r="E512" s="1053"/>
      <c r="R512" s="1054"/>
      <c r="S512" s="1054"/>
      <c r="T512" s="1054"/>
      <c r="U512" s="1054"/>
      <c r="V512" s="1054"/>
      <c r="W512" s="1054"/>
      <c r="X512" s="1054"/>
      <c r="Y512" s="1054"/>
    </row>
    <row r="513" spans="1:25">
      <c r="A513" s="1053"/>
      <c r="B513" s="1053"/>
      <c r="C513" s="1053"/>
      <c r="D513" s="1053"/>
      <c r="E513" s="1053"/>
      <c r="R513" s="1054"/>
      <c r="S513" s="1054"/>
      <c r="T513" s="1054"/>
      <c r="U513" s="1054"/>
      <c r="V513" s="1054"/>
      <c r="W513" s="1054"/>
      <c r="X513" s="1054"/>
      <c r="Y513" s="1054"/>
    </row>
    <row r="514" spans="1:25">
      <c r="A514" s="1053"/>
      <c r="B514" s="1053"/>
      <c r="C514" s="1053"/>
      <c r="D514" s="1053"/>
      <c r="E514" s="1053"/>
      <c r="R514" s="1054"/>
      <c r="S514" s="1054"/>
      <c r="T514" s="1054"/>
      <c r="U514" s="1054"/>
      <c r="V514" s="1054"/>
      <c r="W514" s="1054"/>
      <c r="X514" s="1054"/>
      <c r="Y514" s="1054"/>
    </row>
    <row r="515" spans="1:25">
      <c r="A515" s="1053"/>
      <c r="B515" s="1053"/>
      <c r="C515" s="1053"/>
      <c r="D515" s="1053"/>
      <c r="E515" s="1053"/>
      <c r="R515" s="1054"/>
      <c r="S515" s="1054"/>
      <c r="T515" s="1054"/>
      <c r="U515" s="1054"/>
      <c r="V515" s="1054"/>
      <c r="W515" s="1054"/>
      <c r="X515" s="1054"/>
      <c r="Y515" s="1054"/>
    </row>
    <row r="516" spans="1:25">
      <c r="A516" s="1053"/>
      <c r="B516" s="1053"/>
      <c r="C516" s="1053"/>
      <c r="D516" s="1053"/>
      <c r="E516" s="1053"/>
      <c r="R516" s="1054"/>
      <c r="S516" s="1054"/>
      <c r="T516" s="1054"/>
      <c r="U516" s="1054"/>
      <c r="V516" s="1054"/>
      <c r="W516" s="1054"/>
      <c r="X516" s="1054"/>
      <c r="Y516" s="1054"/>
    </row>
    <row r="517" spans="1:25">
      <c r="A517" s="1053"/>
      <c r="B517" s="1053"/>
      <c r="C517" s="1053"/>
      <c r="D517" s="1053"/>
      <c r="E517" s="1053"/>
      <c r="R517" s="1054"/>
      <c r="S517" s="1054"/>
      <c r="T517" s="1054"/>
      <c r="U517" s="1054"/>
      <c r="V517" s="1054"/>
      <c r="W517" s="1054"/>
      <c r="X517" s="1054"/>
      <c r="Y517" s="1054"/>
    </row>
    <row r="518" spans="1:25">
      <c r="A518" s="1053"/>
      <c r="B518" s="1053"/>
      <c r="C518" s="1053"/>
      <c r="D518" s="1053"/>
      <c r="E518" s="1053"/>
      <c r="R518" s="1054"/>
      <c r="S518" s="1054"/>
      <c r="T518" s="1054"/>
      <c r="U518" s="1054"/>
      <c r="V518" s="1054"/>
      <c r="W518" s="1054"/>
      <c r="X518" s="1054"/>
      <c r="Y518" s="1054"/>
    </row>
    <row r="519" spans="1:25">
      <c r="A519" s="1053"/>
      <c r="B519" s="1053"/>
      <c r="C519" s="1053"/>
      <c r="D519" s="1053"/>
      <c r="E519" s="1053"/>
      <c r="R519" s="1054"/>
      <c r="S519" s="1054"/>
      <c r="T519" s="1054"/>
      <c r="U519" s="1054"/>
      <c r="V519" s="1054"/>
      <c r="W519" s="1054"/>
      <c r="X519" s="1054"/>
      <c r="Y519" s="1054"/>
    </row>
    <row r="520" spans="1:25">
      <c r="A520" s="1053"/>
      <c r="B520" s="1053"/>
      <c r="C520" s="1053"/>
      <c r="D520" s="1053"/>
      <c r="E520" s="1053"/>
      <c r="R520" s="1054"/>
      <c r="S520" s="1054"/>
      <c r="T520" s="1054"/>
      <c r="U520" s="1054"/>
      <c r="V520" s="1054"/>
      <c r="W520" s="1054"/>
      <c r="X520" s="1054"/>
      <c r="Y520" s="1054"/>
    </row>
    <row r="521" spans="1:25">
      <c r="A521" s="1053"/>
      <c r="B521" s="1053"/>
      <c r="C521" s="1053"/>
      <c r="D521" s="1053"/>
      <c r="E521" s="1053"/>
      <c r="R521" s="1054"/>
      <c r="S521" s="1054"/>
      <c r="T521" s="1054"/>
      <c r="U521" s="1054"/>
      <c r="V521" s="1054"/>
      <c r="W521" s="1054"/>
      <c r="X521" s="1054"/>
      <c r="Y521" s="1054"/>
    </row>
    <row r="522" spans="1:25">
      <c r="A522" s="1053"/>
      <c r="B522" s="1053"/>
      <c r="C522" s="1053"/>
      <c r="D522" s="1053"/>
      <c r="E522" s="1053"/>
      <c r="R522" s="1054"/>
      <c r="S522" s="1054"/>
      <c r="T522" s="1054"/>
      <c r="U522" s="1054"/>
      <c r="V522" s="1054"/>
      <c r="W522" s="1054"/>
      <c r="X522" s="1054"/>
      <c r="Y522" s="1054"/>
    </row>
    <row r="523" spans="1:25">
      <c r="A523" s="1053"/>
      <c r="B523" s="1053"/>
      <c r="C523" s="1053"/>
      <c r="D523" s="1053"/>
      <c r="E523" s="1053"/>
      <c r="R523" s="1054"/>
      <c r="S523" s="1054"/>
      <c r="T523" s="1054"/>
      <c r="U523" s="1054"/>
      <c r="V523" s="1054"/>
      <c r="W523" s="1054"/>
      <c r="X523" s="1054"/>
      <c r="Y523" s="1054"/>
    </row>
    <row r="524" spans="1:25">
      <c r="A524" s="1053"/>
      <c r="B524" s="1053"/>
      <c r="C524" s="1053"/>
      <c r="D524" s="1053"/>
      <c r="E524" s="1053"/>
      <c r="R524" s="1054"/>
      <c r="S524" s="1054"/>
      <c r="T524" s="1054"/>
      <c r="U524" s="1054"/>
      <c r="V524" s="1054"/>
      <c r="W524" s="1054"/>
      <c r="X524" s="1054"/>
      <c r="Y524" s="1054"/>
    </row>
    <row r="525" spans="1:25">
      <c r="A525" s="1053"/>
      <c r="B525" s="1053"/>
      <c r="C525" s="1053"/>
      <c r="D525" s="1053"/>
      <c r="E525" s="1053"/>
      <c r="R525" s="1054"/>
      <c r="S525" s="1054"/>
      <c r="T525" s="1054"/>
      <c r="U525" s="1054"/>
      <c r="V525" s="1054"/>
      <c r="W525" s="1054"/>
      <c r="X525" s="1054"/>
      <c r="Y525" s="1054"/>
    </row>
    <row r="526" spans="1:25">
      <c r="A526" s="1053"/>
      <c r="B526" s="1053"/>
      <c r="C526" s="1053"/>
      <c r="D526" s="1053"/>
      <c r="E526" s="1053"/>
      <c r="R526" s="1054"/>
      <c r="S526" s="1054"/>
      <c r="T526" s="1054"/>
      <c r="U526" s="1054"/>
      <c r="V526" s="1054"/>
      <c r="W526" s="1054"/>
      <c r="X526" s="1054"/>
      <c r="Y526" s="1054"/>
    </row>
    <row r="527" spans="1:25">
      <c r="A527" s="1053"/>
      <c r="B527" s="1053"/>
      <c r="C527" s="1053"/>
      <c r="D527" s="1053"/>
      <c r="E527" s="1053"/>
      <c r="R527" s="1054"/>
      <c r="S527" s="1054"/>
      <c r="T527" s="1054"/>
      <c r="U527" s="1054"/>
      <c r="V527" s="1054"/>
      <c r="W527" s="1054"/>
      <c r="X527" s="1054"/>
      <c r="Y527" s="1054"/>
    </row>
    <row r="528" spans="1:25">
      <c r="A528" s="1053"/>
      <c r="B528" s="1053"/>
      <c r="C528" s="1053"/>
      <c r="D528" s="1053"/>
      <c r="E528" s="1053"/>
      <c r="R528" s="1054"/>
      <c r="S528" s="1054"/>
      <c r="T528" s="1054"/>
      <c r="U528" s="1054"/>
      <c r="V528" s="1054"/>
      <c r="W528" s="1054"/>
      <c r="X528" s="1054"/>
      <c r="Y528" s="1054"/>
    </row>
    <row r="529" spans="1:25">
      <c r="A529" s="1053"/>
      <c r="B529" s="1053"/>
      <c r="C529" s="1053"/>
      <c r="D529" s="1053"/>
      <c r="E529" s="1053"/>
      <c r="R529" s="1054"/>
      <c r="S529" s="1054"/>
      <c r="T529" s="1054"/>
      <c r="U529" s="1054"/>
      <c r="V529" s="1054"/>
      <c r="W529" s="1054"/>
      <c r="X529" s="1054"/>
      <c r="Y529" s="1054"/>
    </row>
    <row r="530" spans="1:25">
      <c r="A530" s="1053"/>
      <c r="B530" s="1053"/>
      <c r="C530" s="1053"/>
      <c r="D530" s="1053"/>
      <c r="E530" s="1053"/>
      <c r="R530" s="1054"/>
      <c r="S530" s="1054"/>
      <c r="T530" s="1054"/>
      <c r="U530" s="1054"/>
      <c r="V530" s="1054"/>
      <c r="W530" s="1054"/>
      <c r="X530" s="1054"/>
      <c r="Y530" s="1054"/>
    </row>
    <row r="531" spans="1:25">
      <c r="A531" s="1053"/>
      <c r="B531" s="1053"/>
      <c r="C531" s="1053"/>
      <c r="D531" s="1053"/>
      <c r="E531" s="1053"/>
      <c r="R531" s="1054"/>
      <c r="S531" s="1054"/>
      <c r="T531" s="1054"/>
      <c r="U531" s="1054"/>
      <c r="V531" s="1054"/>
      <c r="W531" s="1054"/>
      <c r="X531" s="1054"/>
      <c r="Y531" s="1054"/>
    </row>
    <row r="532" spans="1:25">
      <c r="A532" s="1053"/>
      <c r="B532" s="1053"/>
      <c r="C532" s="1053"/>
      <c r="D532" s="1053"/>
      <c r="E532" s="1053"/>
      <c r="R532" s="1054"/>
      <c r="S532" s="1054"/>
      <c r="T532" s="1054"/>
      <c r="U532" s="1054"/>
      <c r="V532" s="1054"/>
      <c r="W532" s="1054"/>
      <c r="X532" s="1054"/>
      <c r="Y532" s="1054"/>
    </row>
    <row r="533" spans="1:25">
      <c r="A533" s="1053"/>
      <c r="B533" s="1053"/>
      <c r="C533" s="1053"/>
      <c r="D533" s="1053"/>
      <c r="E533" s="1053"/>
      <c r="R533" s="1054"/>
      <c r="S533" s="1054"/>
      <c r="T533" s="1054"/>
      <c r="U533" s="1054"/>
      <c r="V533" s="1054"/>
      <c r="W533" s="1054"/>
      <c r="X533" s="1054"/>
      <c r="Y533" s="1054"/>
    </row>
    <row r="534" spans="1:25">
      <c r="A534" s="1053"/>
      <c r="B534" s="1053"/>
      <c r="C534" s="1053"/>
      <c r="D534" s="1053"/>
      <c r="E534" s="1053"/>
      <c r="R534" s="1054"/>
      <c r="S534" s="1054"/>
      <c r="T534" s="1054"/>
      <c r="U534" s="1054"/>
      <c r="V534" s="1054"/>
      <c r="W534" s="1054"/>
      <c r="X534" s="1054"/>
      <c r="Y534" s="1054"/>
    </row>
    <row r="535" spans="1:25">
      <c r="A535" s="1053"/>
      <c r="B535" s="1053"/>
      <c r="C535" s="1053"/>
      <c r="D535" s="1053"/>
      <c r="E535" s="1053"/>
      <c r="R535" s="1054"/>
      <c r="S535" s="1054"/>
      <c r="T535" s="1054"/>
      <c r="U535" s="1054"/>
      <c r="V535" s="1054"/>
      <c r="W535" s="1054"/>
      <c r="X535" s="1054"/>
      <c r="Y535" s="1054"/>
    </row>
    <row r="536" spans="1:25">
      <c r="A536" s="1053"/>
      <c r="B536" s="1053"/>
      <c r="C536" s="1053"/>
      <c r="D536" s="1053"/>
      <c r="E536" s="1053"/>
      <c r="R536" s="1054"/>
      <c r="S536" s="1054"/>
      <c r="T536" s="1054"/>
      <c r="U536" s="1054"/>
      <c r="V536" s="1054"/>
      <c r="W536" s="1054"/>
      <c r="X536" s="1054"/>
      <c r="Y536" s="1054"/>
    </row>
    <row r="537" spans="1:25">
      <c r="A537" s="1053"/>
      <c r="B537" s="1053"/>
      <c r="C537" s="1053"/>
      <c r="D537" s="1053"/>
      <c r="E537" s="1053"/>
      <c r="R537" s="1054"/>
      <c r="S537" s="1054"/>
      <c r="T537" s="1054"/>
      <c r="U537" s="1054"/>
      <c r="V537" s="1054"/>
      <c r="W537" s="1054"/>
      <c r="X537" s="1054"/>
      <c r="Y537" s="1054"/>
    </row>
    <row r="538" spans="1:25">
      <c r="A538" s="1053"/>
      <c r="B538" s="1053"/>
      <c r="C538" s="1053"/>
      <c r="D538" s="1053"/>
      <c r="E538" s="1053"/>
      <c r="R538" s="1054"/>
      <c r="S538" s="1054"/>
      <c r="T538" s="1054"/>
      <c r="U538" s="1054"/>
      <c r="V538" s="1054"/>
      <c r="W538" s="1054"/>
      <c r="X538" s="1054"/>
      <c r="Y538" s="1054"/>
    </row>
    <row r="539" spans="1:25">
      <c r="A539" s="1053"/>
      <c r="B539" s="1053"/>
      <c r="C539" s="1053"/>
      <c r="D539" s="1053"/>
      <c r="E539" s="1053"/>
      <c r="R539" s="1054"/>
      <c r="S539" s="1054"/>
      <c r="T539" s="1054"/>
      <c r="U539" s="1054"/>
      <c r="V539" s="1054"/>
      <c r="W539" s="1054"/>
      <c r="X539" s="1054"/>
      <c r="Y539" s="1054"/>
    </row>
    <row r="540" spans="1:25">
      <c r="A540" s="1053"/>
      <c r="B540" s="1053"/>
      <c r="C540" s="1053"/>
      <c r="D540" s="1053"/>
      <c r="E540" s="1053"/>
      <c r="R540" s="1054"/>
      <c r="S540" s="1054"/>
      <c r="T540" s="1054"/>
      <c r="U540" s="1054"/>
      <c r="V540" s="1054"/>
      <c r="W540" s="1054"/>
      <c r="X540" s="1054"/>
      <c r="Y540" s="1054"/>
    </row>
    <row r="541" spans="1:25">
      <c r="A541" s="1053"/>
      <c r="B541" s="1053"/>
      <c r="C541" s="1053"/>
      <c r="D541" s="1053"/>
      <c r="E541" s="1053"/>
      <c r="R541" s="1054"/>
      <c r="S541" s="1054"/>
      <c r="T541" s="1054"/>
      <c r="U541" s="1054"/>
      <c r="V541" s="1054"/>
      <c r="W541" s="1054"/>
      <c r="X541" s="1054"/>
      <c r="Y541" s="1054"/>
    </row>
    <row r="542" spans="1:25">
      <c r="A542" s="1053"/>
      <c r="B542" s="1053"/>
      <c r="C542" s="1053"/>
      <c r="D542" s="1053"/>
      <c r="E542" s="1053"/>
      <c r="R542" s="1054"/>
      <c r="S542" s="1054"/>
      <c r="T542" s="1054"/>
      <c r="U542" s="1054"/>
      <c r="V542" s="1054"/>
      <c r="W542" s="1054"/>
      <c r="X542" s="1054"/>
      <c r="Y542" s="1054"/>
    </row>
    <row r="543" spans="1:25">
      <c r="A543" s="1053"/>
      <c r="B543" s="1053"/>
      <c r="C543" s="1053"/>
      <c r="D543" s="1053"/>
      <c r="E543" s="1053"/>
      <c r="R543" s="1054"/>
      <c r="S543" s="1054"/>
      <c r="T543" s="1054"/>
      <c r="U543" s="1054"/>
      <c r="V543" s="1054"/>
      <c r="W543" s="1054"/>
      <c r="X543" s="1054"/>
      <c r="Y543" s="1054"/>
    </row>
    <row r="544" spans="1:25">
      <c r="A544" s="1053"/>
      <c r="B544" s="1053"/>
      <c r="C544" s="1053"/>
      <c r="D544" s="1053"/>
      <c r="E544" s="1053"/>
      <c r="R544" s="1054"/>
      <c r="S544" s="1054"/>
      <c r="T544" s="1054"/>
      <c r="U544" s="1054"/>
      <c r="V544" s="1054"/>
      <c r="W544" s="1054"/>
      <c r="X544" s="1054"/>
      <c r="Y544" s="1054"/>
    </row>
    <row r="545" spans="1:25">
      <c r="A545" s="1053"/>
      <c r="B545" s="1053"/>
      <c r="C545" s="1053"/>
      <c r="D545" s="1053"/>
      <c r="E545" s="1053"/>
      <c r="R545" s="1054"/>
      <c r="S545" s="1054"/>
      <c r="T545" s="1054"/>
      <c r="U545" s="1054"/>
      <c r="V545" s="1054"/>
      <c r="W545" s="1054"/>
      <c r="X545" s="1054"/>
      <c r="Y545" s="1054"/>
    </row>
    <row r="546" spans="1:25">
      <c r="A546" s="1053"/>
      <c r="B546" s="1053"/>
      <c r="C546" s="1053"/>
      <c r="D546" s="1053"/>
      <c r="E546" s="1053"/>
      <c r="R546" s="1054"/>
      <c r="S546" s="1054"/>
      <c r="T546" s="1054"/>
      <c r="U546" s="1054"/>
      <c r="V546" s="1054"/>
      <c r="W546" s="1054"/>
      <c r="X546" s="1054"/>
      <c r="Y546" s="1054"/>
    </row>
    <row r="547" spans="1:25">
      <c r="A547" s="1053"/>
      <c r="B547" s="1053"/>
      <c r="C547" s="1053"/>
      <c r="D547" s="1053"/>
      <c r="E547" s="1053"/>
      <c r="R547" s="1054"/>
      <c r="S547" s="1054"/>
      <c r="T547" s="1054"/>
      <c r="U547" s="1054"/>
      <c r="V547" s="1054"/>
      <c r="W547" s="1054"/>
      <c r="X547" s="1054"/>
      <c r="Y547" s="1054"/>
    </row>
    <row r="548" spans="1:25">
      <c r="A548" s="1053"/>
      <c r="B548" s="1053"/>
      <c r="C548" s="1053"/>
      <c r="D548" s="1053"/>
      <c r="E548" s="1053"/>
      <c r="R548" s="1054"/>
      <c r="S548" s="1054"/>
      <c r="T548" s="1054"/>
      <c r="U548" s="1054"/>
      <c r="V548" s="1054"/>
      <c r="W548" s="1054"/>
      <c r="X548" s="1054"/>
      <c r="Y548" s="1054"/>
    </row>
    <row r="549" spans="1:25">
      <c r="A549" s="1053"/>
      <c r="B549" s="1053"/>
      <c r="C549" s="1053"/>
      <c r="D549" s="1053"/>
      <c r="E549" s="1053"/>
      <c r="R549" s="1054"/>
      <c r="S549" s="1054"/>
      <c r="T549" s="1054"/>
      <c r="U549" s="1054"/>
      <c r="V549" s="1054"/>
      <c r="W549" s="1054"/>
      <c r="X549" s="1054"/>
      <c r="Y549" s="1054"/>
    </row>
    <row r="550" spans="1:25">
      <c r="A550" s="1053"/>
      <c r="B550" s="1053"/>
      <c r="C550" s="1053"/>
      <c r="D550" s="1053"/>
      <c r="E550" s="1053"/>
      <c r="R550" s="1054"/>
      <c r="S550" s="1054"/>
      <c r="T550" s="1054"/>
      <c r="U550" s="1054"/>
      <c r="V550" s="1054"/>
      <c r="W550" s="1054"/>
      <c r="X550" s="1054"/>
      <c r="Y550" s="1054"/>
    </row>
    <row r="551" spans="1:25">
      <c r="A551" s="1053"/>
      <c r="B551" s="1053"/>
      <c r="C551" s="1053"/>
      <c r="D551" s="1053"/>
      <c r="E551" s="1053"/>
      <c r="R551" s="1054"/>
      <c r="S551" s="1054"/>
      <c r="T551" s="1054"/>
      <c r="U551" s="1054"/>
      <c r="V551" s="1054"/>
      <c r="W551" s="1054"/>
      <c r="X551" s="1054"/>
      <c r="Y551" s="1054"/>
    </row>
    <row r="552" spans="1:25">
      <c r="A552" s="1053"/>
      <c r="B552" s="1053"/>
      <c r="C552" s="1053"/>
      <c r="D552" s="1053"/>
      <c r="E552" s="1053"/>
      <c r="R552" s="1054"/>
      <c r="S552" s="1054"/>
      <c r="T552" s="1054"/>
      <c r="U552" s="1054"/>
      <c r="V552" s="1054"/>
      <c r="W552" s="1054"/>
      <c r="X552" s="1054"/>
      <c r="Y552" s="1054"/>
    </row>
    <row r="553" spans="1:25">
      <c r="A553" s="1053"/>
      <c r="B553" s="1053"/>
      <c r="C553" s="1053"/>
      <c r="D553" s="1053"/>
      <c r="E553" s="1053"/>
      <c r="R553" s="1054"/>
      <c r="S553" s="1054"/>
      <c r="T553" s="1054"/>
      <c r="U553" s="1054"/>
      <c r="V553" s="1054"/>
      <c r="W553" s="1054"/>
      <c r="X553" s="1054"/>
      <c r="Y553" s="1054"/>
    </row>
    <row r="554" spans="1:25">
      <c r="A554" s="1053"/>
      <c r="B554" s="1053"/>
      <c r="C554" s="1053"/>
      <c r="D554" s="1053"/>
      <c r="E554" s="1053"/>
      <c r="R554" s="1054"/>
      <c r="S554" s="1054"/>
      <c r="T554" s="1054"/>
      <c r="U554" s="1054"/>
      <c r="V554" s="1054"/>
      <c r="W554" s="1054"/>
      <c r="X554" s="1054"/>
      <c r="Y554" s="1054"/>
    </row>
    <row r="555" spans="1:25">
      <c r="A555" s="1053"/>
      <c r="B555" s="1053"/>
      <c r="C555" s="1053"/>
      <c r="D555" s="1053"/>
      <c r="E555" s="1053"/>
      <c r="R555" s="1054"/>
      <c r="S555" s="1054"/>
      <c r="T555" s="1054"/>
      <c r="U555" s="1054"/>
      <c r="V555" s="1054"/>
      <c r="W555" s="1054"/>
      <c r="X555" s="1054"/>
      <c r="Y555" s="1054"/>
    </row>
    <row r="556" spans="1:25">
      <c r="A556" s="1053"/>
      <c r="B556" s="1053"/>
      <c r="C556" s="1053"/>
      <c r="D556" s="1053"/>
      <c r="E556" s="1053"/>
      <c r="R556" s="1054"/>
      <c r="S556" s="1054"/>
      <c r="T556" s="1054"/>
      <c r="U556" s="1054"/>
      <c r="V556" s="1054"/>
      <c r="W556" s="1054"/>
      <c r="X556" s="1054"/>
      <c r="Y556" s="1054"/>
    </row>
    <row r="557" spans="1:25">
      <c r="A557" s="1053"/>
      <c r="B557" s="1053"/>
      <c r="C557" s="1053"/>
      <c r="D557" s="1053"/>
      <c r="E557" s="1053"/>
      <c r="R557" s="1054"/>
      <c r="S557" s="1054"/>
      <c r="T557" s="1054"/>
      <c r="U557" s="1054"/>
      <c r="V557" s="1054"/>
      <c r="W557" s="1054"/>
      <c r="X557" s="1054"/>
      <c r="Y557" s="1054"/>
    </row>
    <row r="558" spans="1:25">
      <c r="A558" s="1053"/>
      <c r="B558" s="1053"/>
      <c r="C558" s="1053"/>
      <c r="D558" s="1053"/>
      <c r="E558" s="1053"/>
      <c r="R558" s="1054"/>
      <c r="S558" s="1054"/>
      <c r="T558" s="1054"/>
      <c r="U558" s="1054"/>
      <c r="V558" s="1054"/>
      <c r="W558" s="1054"/>
      <c r="X558" s="1054"/>
      <c r="Y558" s="1054"/>
    </row>
    <row r="559" spans="1:25">
      <c r="A559" s="1053"/>
      <c r="B559" s="1053"/>
      <c r="C559" s="1053"/>
      <c r="D559" s="1053"/>
      <c r="E559" s="1053"/>
      <c r="R559" s="1054"/>
      <c r="S559" s="1054"/>
      <c r="T559" s="1054"/>
      <c r="U559" s="1054"/>
      <c r="V559" s="1054"/>
      <c r="W559" s="1054"/>
      <c r="X559" s="1054"/>
      <c r="Y559" s="1054"/>
    </row>
    <row r="560" spans="1:25">
      <c r="A560" s="1053"/>
      <c r="B560" s="1053"/>
      <c r="C560" s="1053"/>
      <c r="D560" s="1053"/>
      <c r="E560" s="1053"/>
      <c r="R560" s="1054"/>
      <c r="S560" s="1054"/>
      <c r="T560" s="1054"/>
      <c r="U560" s="1054"/>
      <c r="V560" s="1054"/>
      <c r="W560" s="1054"/>
      <c r="X560" s="1054"/>
      <c r="Y560" s="1054"/>
    </row>
    <row r="561" spans="1:25">
      <c r="A561" s="1053"/>
      <c r="B561" s="1053"/>
      <c r="C561" s="1053"/>
      <c r="D561" s="1053"/>
      <c r="E561" s="1053"/>
      <c r="R561" s="1054"/>
      <c r="S561" s="1054"/>
      <c r="T561" s="1054"/>
      <c r="U561" s="1054"/>
      <c r="V561" s="1054"/>
      <c r="W561" s="1054"/>
      <c r="X561" s="1054"/>
      <c r="Y561" s="1054"/>
    </row>
    <row r="562" spans="1:25">
      <c r="A562" s="1053"/>
      <c r="B562" s="1053"/>
      <c r="C562" s="1053"/>
      <c r="D562" s="1053"/>
      <c r="E562" s="1053"/>
      <c r="R562" s="1054"/>
      <c r="S562" s="1054"/>
      <c r="T562" s="1054"/>
      <c r="U562" s="1054"/>
      <c r="V562" s="1054"/>
      <c r="W562" s="1054"/>
      <c r="X562" s="1054"/>
      <c r="Y562" s="1054"/>
    </row>
    <row r="563" spans="1:25">
      <c r="A563" s="1053"/>
      <c r="B563" s="1053"/>
      <c r="C563" s="1053"/>
      <c r="D563" s="1053"/>
      <c r="E563" s="1053"/>
      <c r="R563" s="1054"/>
      <c r="S563" s="1054"/>
      <c r="T563" s="1054"/>
      <c r="U563" s="1054"/>
      <c r="V563" s="1054"/>
      <c r="W563" s="1054"/>
      <c r="X563" s="1054"/>
      <c r="Y563" s="1054"/>
    </row>
    <row r="564" spans="1:25">
      <c r="A564" s="1053"/>
      <c r="B564" s="1053"/>
      <c r="C564" s="1053"/>
      <c r="D564" s="1053"/>
      <c r="E564" s="1053"/>
      <c r="R564" s="1054"/>
      <c r="S564" s="1054"/>
      <c r="T564" s="1054"/>
      <c r="U564" s="1054"/>
      <c r="V564" s="1054"/>
      <c r="W564" s="1054"/>
      <c r="X564" s="1054"/>
      <c r="Y564" s="1054"/>
    </row>
    <row r="565" spans="1:25">
      <c r="A565" s="1053"/>
      <c r="B565" s="1053"/>
      <c r="C565" s="1053"/>
      <c r="D565" s="1053"/>
      <c r="E565" s="1053"/>
      <c r="R565" s="1054"/>
      <c r="S565" s="1054"/>
      <c r="T565" s="1054"/>
      <c r="U565" s="1054"/>
      <c r="V565" s="1054"/>
      <c r="W565" s="1054"/>
      <c r="X565" s="1054"/>
      <c r="Y565" s="1054"/>
    </row>
    <row r="566" spans="1:25">
      <c r="A566" s="1053"/>
      <c r="B566" s="1053"/>
      <c r="C566" s="1053"/>
      <c r="D566" s="1053"/>
      <c r="E566" s="1053"/>
      <c r="R566" s="1054"/>
      <c r="S566" s="1054"/>
      <c r="T566" s="1054"/>
      <c r="U566" s="1054"/>
      <c r="V566" s="1054"/>
      <c r="W566" s="1054"/>
      <c r="X566" s="1054"/>
      <c r="Y566" s="1054"/>
    </row>
    <row r="567" spans="1:25">
      <c r="A567" s="1053"/>
      <c r="B567" s="1053"/>
      <c r="C567" s="1053"/>
      <c r="D567" s="1053"/>
      <c r="E567" s="1053"/>
      <c r="R567" s="1054"/>
      <c r="S567" s="1054"/>
      <c r="T567" s="1054"/>
      <c r="U567" s="1054"/>
      <c r="V567" s="1054"/>
      <c r="W567" s="1054"/>
      <c r="X567" s="1054"/>
      <c r="Y567" s="1054"/>
    </row>
    <row r="568" spans="1:25">
      <c r="A568" s="1053"/>
      <c r="B568" s="1053"/>
      <c r="C568" s="1053"/>
      <c r="D568" s="1053"/>
      <c r="E568" s="1053"/>
      <c r="R568" s="1054"/>
      <c r="S568" s="1054"/>
      <c r="T568" s="1054"/>
      <c r="U568" s="1054"/>
      <c r="V568" s="1054"/>
      <c r="W568" s="1054"/>
      <c r="X568" s="1054"/>
      <c r="Y568" s="1054"/>
    </row>
    <row r="569" spans="1:25">
      <c r="A569" s="1053"/>
      <c r="B569" s="1053"/>
      <c r="C569" s="1053"/>
      <c r="D569" s="1053"/>
      <c r="E569" s="1053"/>
      <c r="R569" s="1054"/>
      <c r="S569" s="1054"/>
      <c r="T569" s="1054"/>
      <c r="U569" s="1054"/>
      <c r="V569" s="1054"/>
      <c r="W569" s="1054"/>
      <c r="X569" s="1054"/>
      <c r="Y569" s="1054"/>
    </row>
    <row r="570" spans="1:25">
      <c r="A570" s="1053"/>
      <c r="B570" s="1053"/>
      <c r="C570" s="1053"/>
      <c r="D570" s="1053"/>
      <c r="E570" s="1053"/>
      <c r="R570" s="1054"/>
      <c r="S570" s="1054"/>
      <c r="T570" s="1054"/>
      <c r="U570" s="1054"/>
      <c r="V570" s="1054"/>
      <c r="W570" s="1054"/>
      <c r="X570" s="1054"/>
      <c r="Y570" s="1054"/>
    </row>
    <row r="571" spans="1:25">
      <c r="A571" s="1053"/>
      <c r="B571" s="1053"/>
      <c r="C571" s="1053"/>
      <c r="D571" s="1053"/>
      <c r="E571" s="1053"/>
      <c r="R571" s="1054"/>
      <c r="S571" s="1054"/>
      <c r="T571" s="1054"/>
      <c r="U571" s="1054"/>
      <c r="V571" s="1054"/>
      <c r="W571" s="1054"/>
      <c r="X571" s="1054"/>
      <c r="Y571" s="1054"/>
    </row>
    <row r="572" spans="1:25">
      <c r="A572" s="1053"/>
      <c r="B572" s="1053"/>
      <c r="C572" s="1053"/>
      <c r="D572" s="1053"/>
      <c r="E572" s="1053"/>
      <c r="R572" s="1054"/>
      <c r="S572" s="1054"/>
      <c r="T572" s="1054"/>
      <c r="U572" s="1054"/>
      <c r="V572" s="1054"/>
      <c r="W572" s="1054"/>
      <c r="X572" s="1054"/>
      <c r="Y572" s="1054"/>
    </row>
    <row r="573" spans="1:25">
      <c r="A573" s="1053"/>
      <c r="B573" s="1053"/>
      <c r="C573" s="1053"/>
      <c r="D573" s="1053"/>
      <c r="E573" s="1053"/>
      <c r="R573" s="1054"/>
      <c r="S573" s="1054"/>
      <c r="T573" s="1054"/>
      <c r="U573" s="1054"/>
      <c r="V573" s="1054"/>
      <c r="W573" s="1054"/>
      <c r="X573" s="1054"/>
      <c r="Y573" s="1054"/>
    </row>
    <row r="574" spans="1:25">
      <c r="A574" s="1053"/>
      <c r="B574" s="1053"/>
      <c r="C574" s="1053"/>
      <c r="D574" s="1053"/>
      <c r="E574" s="1053"/>
      <c r="R574" s="1054"/>
      <c r="S574" s="1054"/>
      <c r="T574" s="1054"/>
      <c r="U574" s="1054"/>
      <c r="V574" s="1054"/>
      <c r="W574" s="1054"/>
      <c r="X574" s="1054"/>
      <c r="Y574" s="1054"/>
    </row>
    <row r="575" spans="1:25">
      <c r="A575" s="1053"/>
      <c r="B575" s="1053"/>
      <c r="C575" s="1053"/>
      <c r="D575" s="1053"/>
      <c r="E575" s="1053"/>
      <c r="R575" s="1054"/>
      <c r="S575" s="1054"/>
      <c r="T575" s="1054"/>
      <c r="U575" s="1054"/>
      <c r="V575" s="1054"/>
      <c r="W575" s="1054"/>
      <c r="X575" s="1054"/>
      <c r="Y575" s="1054"/>
    </row>
    <row r="576" spans="1:25">
      <c r="A576" s="1053"/>
      <c r="B576" s="1053"/>
      <c r="C576" s="1053"/>
      <c r="D576" s="1053"/>
      <c r="E576" s="1053"/>
      <c r="R576" s="1054"/>
      <c r="S576" s="1054"/>
      <c r="T576" s="1054"/>
      <c r="U576" s="1054"/>
      <c r="V576" s="1054"/>
      <c r="W576" s="1054"/>
      <c r="X576" s="1054"/>
      <c r="Y576" s="1054"/>
    </row>
    <row r="577" spans="1:25">
      <c r="A577" s="1053"/>
      <c r="B577" s="1053"/>
      <c r="C577" s="1053"/>
      <c r="D577" s="1053"/>
      <c r="E577" s="1053"/>
      <c r="R577" s="1054"/>
      <c r="S577" s="1054"/>
      <c r="T577" s="1054"/>
      <c r="U577" s="1054"/>
      <c r="V577" s="1054"/>
      <c r="W577" s="1054"/>
      <c r="X577" s="1054"/>
      <c r="Y577" s="1054"/>
    </row>
    <row r="578" spans="1:25">
      <c r="A578" s="1053"/>
      <c r="B578" s="1053"/>
      <c r="C578" s="1053"/>
      <c r="D578" s="1053"/>
      <c r="E578" s="1053"/>
      <c r="R578" s="1054"/>
      <c r="S578" s="1054"/>
      <c r="T578" s="1054"/>
      <c r="U578" s="1054"/>
      <c r="V578" s="1054"/>
      <c r="W578" s="1054"/>
      <c r="X578" s="1054"/>
      <c r="Y578" s="1054"/>
    </row>
    <row r="579" spans="1:25">
      <c r="A579" s="1053"/>
      <c r="B579" s="1053"/>
      <c r="C579" s="1053"/>
      <c r="D579" s="1053"/>
      <c r="E579" s="1053"/>
      <c r="R579" s="1054"/>
      <c r="S579" s="1054"/>
      <c r="T579" s="1054"/>
      <c r="U579" s="1054"/>
      <c r="V579" s="1054"/>
      <c r="W579" s="1054"/>
      <c r="X579" s="1054"/>
      <c r="Y579" s="1054"/>
    </row>
    <row r="580" spans="1:25">
      <c r="A580" s="1053"/>
      <c r="B580" s="1053"/>
      <c r="C580" s="1053"/>
      <c r="D580" s="1053"/>
      <c r="E580" s="1053"/>
      <c r="R580" s="1054"/>
      <c r="S580" s="1054"/>
      <c r="T580" s="1054"/>
      <c r="U580" s="1054"/>
      <c r="V580" s="1054"/>
      <c r="W580" s="1054"/>
      <c r="X580" s="1054"/>
      <c r="Y580" s="1054"/>
    </row>
    <row r="581" spans="1:25">
      <c r="A581" s="1053"/>
      <c r="B581" s="1053"/>
      <c r="C581" s="1053"/>
      <c r="D581" s="1053"/>
      <c r="E581" s="1053"/>
      <c r="R581" s="1054"/>
      <c r="S581" s="1054"/>
      <c r="T581" s="1054"/>
      <c r="U581" s="1054"/>
      <c r="V581" s="1054"/>
      <c r="W581" s="1054"/>
      <c r="X581" s="1054"/>
      <c r="Y581" s="1054"/>
    </row>
    <row r="582" spans="1:25">
      <c r="A582" s="1053"/>
      <c r="B582" s="1053"/>
      <c r="C582" s="1053"/>
      <c r="D582" s="1053"/>
      <c r="E582" s="1053"/>
      <c r="R582" s="1054"/>
      <c r="S582" s="1054"/>
      <c r="T582" s="1054"/>
      <c r="U582" s="1054"/>
      <c r="V582" s="1054"/>
      <c r="W582" s="1054"/>
      <c r="X582" s="1054"/>
      <c r="Y582" s="1054"/>
    </row>
    <row r="583" spans="1:25">
      <c r="A583" s="1053"/>
      <c r="B583" s="1053"/>
      <c r="C583" s="1053"/>
      <c r="D583" s="1053"/>
      <c r="E583" s="1053"/>
      <c r="R583" s="1054"/>
      <c r="S583" s="1054"/>
      <c r="T583" s="1054"/>
      <c r="U583" s="1054"/>
      <c r="V583" s="1054"/>
      <c r="W583" s="1054"/>
      <c r="X583" s="1054"/>
      <c r="Y583" s="1054"/>
    </row>
    <row r="584" spans="1:25">
      <c r="A584" s="1053"/>
      <c r="B584" s="1053"/>
      <c r="C584" s="1053"/>
      <c r="D584" s="1053"/>
      <c r="E584" s="1053"/>
      <c r="R584" s="1054"/>
      <c r="S584" s="1054"/>
      <c r="T584" s="1054"/>
      <c r="U584" s="1054"/>
      <c r="V584" s="1054"/>
      <c r="W584" s="1054"/>
      <c r="X584" s="1054"/>
      <c r="Y584" s="1054"/>
    </row>
    <row r="585" spans="1:25">
      <c r="A585" s="1053"/>
      <c r="B585" s="1053"/>
      <c r="C585" s="1053"/>
      <c r="D585" s="1053"/>
      <c r="E585" s="1053"/>
      <c r="R585" s="1054"/>
      <c r="S585" s="1054"/>
      <c r="T585" s="1054"/>
      <c r="U585" s="1054"/>
      <c r="V585" s="1054"/>
      <c r="W585" s="1054"/>
      <c r="X585" s="1054"/>
      <c r="Y585" s="1054"/>
    </row>
    <row r="586" spans="1:25">
      <c r="A586" s="1053"/>
      <c r="B586" s="1053"/>
      <c r="C586" s="1053"/>
      <c r="D586" s="1053"/>
      <c r="E586" s="1053"/>
      <c r="R586" s="1054"/>
      <c r="S586" s="1054"/>
      <c r="T586" s="1054"/>
      <c r="U586" s="1054"/>
      <c r="V586" s="1054"/>
      <c r="W586" s="1054"/>
      <c r="X586" s="1054"/>
      <c r="Y586" s="1054"/>
    </row>
    <row r="587" spans="1:25">
      <c r="A587" s="1053"/>
      <c r="B587" s="1053"/>
      <c r="C587" s="1053"/>
      <c r="D587" s="1053"/>
      <c r="E587" s="1053"/>
      <c r="R587" s="1054"/>
      <c r="S587" s="1054"/>
      <c r="T587" s="1054"/>
      <c r="U587" s="1054"/>
      <c r="V587" s="1054"/>
      <c r="W587" s="1054"/>
      <c r="X587" s="1054"/>
      <c r="Y587" s="1054"/>
    </row>
    <row r="588" spans="1:25">
      <c r="A588" s="1053"/>
      <c r="B588" s="1053"/>
      <c r="C588" s="1053"/>
      <c r="D588" s="1053"/>
      <c r="E588" s="1053"/>
      <c r="R588" s="1054"/>
      <c r="S588" s="1054"/>
      <c r="T588" s="1054"/>
      <c r="U588" s="1054"/>
      <c r="V588" s="1054"/>
      <c r="W588" s="1054"/>
      <c r="X588" s="1054"/>
      <c r="Y588" s="1054"/>
    </row>
    <row r="589" spans="1:25">
      <c r="A589" s="1053"/>
      <c r="B589" s="1053"/>
      <c r="C589" s="1053"/>
      <c r="D589" s="1053"/>
      <c r="E589" s="1053"/>
      <c r="R589" s="1054"/>
      <c r="S589" s="1054"/>
      <c r="T589" s="1054"/>
      <c r="U589" s="1054"/>
      <c r="V589" s="1054"/>
      <c r="W589" s="1054"/>
      <c r="X589" s="1054"/>
      <c r="Y589" s="1054"/>
    </row>
    <row r="590" spans="1:25">
      <c r="A590" s="1053"/>
      <c r="B590" s="1053"/>
      <c r="C590" s="1053"/>
      <c r="D590" s="1053"/>
      <c r="E590" s="1053"/>
      <c r="R590" s="1054"/>
      <c r="S590" s="1054"/>
      <c r="T590" s="1054"/>
      <c r="U590" s="1054"/>
      <c r="V590" s="1054"/>
      <c r="W590" s="1054"/>
      <c r="X590" s="1054"/>
      <c r="Y590" s="1054"/>
    </row>
    <row r="591" spans="1:25">
      <c r="A591" s="1053"/>
      <c r="B591" s="1053"/>
      <c r="C591" s="1053"/>
      <c r="D591" s="1053"/>
      <c r="E591" s="1053"/>
      <c r="R591" s="1054"/>
      <c r="S591" s="1054"/>
      <c r="T591" s="1054"/>
      <c r="U591" s="1054"/>
      <c r="V591" s="1054"/>
      <c r="W591" s="1054"/>
      <c r="X591" s="1054"/>
      <c r="Y591" s="1054"/>
    </row>
    <row r="592" spans="1:25">
      <c r="A592" s="1053"/>
      <c r="B592" s="1053"/>
      <c r="C592" s="1053"/>
      <c r="D592" s="1053"/>
      <c r="E592" s="1053"/>
      <c r="R592" s="1054"/>
      <c r="S592" s="1054"/>
      <c r="T592" s="1054"/>
      <c r="U592" s="1054"/>
      <c r="V592" s="1054"/>
      <c r="W592" s="1054"/>
      <c r="X592" s="1054"/>
      <c r="Y592" s="1054"/>
    </row>
    <row r="593" spans="1:25">
      <c r="A593" s="1053"/>
      <c r="B593" s="1053"/>
      <c r="C593" s="1053"/>
      <c r="D593" s="1053"/>
      <c r="E593" s="1053"/>
      <c r="R593" s="1054"/>
      <c r="S593" s="1054"/>
      <c r="T593" s="1054"/>
      <c r="U593" s="1054"/>
      <c r="V593" s="1054"/>
      <c r="W593" s="1054"/>
      <c r="X593" s="1054"/>
      <c r="Y593" s="1054"/>
    </row>
    <row r="594" spans="1:25">
      <c r="A594" s="1053"/>
      <c r="B594" s="1053"/>
      <c r="C594" s="1053"/>
      <c r="D594" s="1053"/>
      <c r="E594" s="1053"/>
      <c r="R594" s="1054"/>
      <c r="S594" s="1054"/>
      <c r="T594" s="1054"/>
      <c r="U594" s="1054"/>
      <c r="V594" s="1054"/>
      <c r="W594" s="1054"/>
      <c r="X594" s="1054"/>
      <c r="Y594" s="1054"/>
    </row>
    <row r="595" spans="1:25">
      <c r="A595" s="1053"/>
      <c r="B595" s="1053"/>
      <c r="C595" s="1053"/>
      <c r="D595" s="1053"/>
      <c r="E595" s="1053"/>
      <c r="R595" s="1054"/>
      <c r="S595" s="1054"/>
      <c r="T595" s="1054"/>
      <c r="U595" s="1054"/>
      <c r="V595" s="1054"/>
      <c r="W595" s="1054"/>
      <c r="X595" s="1054"/>
      <c r="Y595" s="1054"/>
    </row>
    <row r="596" spans="1:25">
      <c r="A596" s="1053"/>
      <c r="B596" s="1053"/>
      <c r="C596" s="1053"/>
      <c r="D596" s="1053"/>
      <c r="E596" s="1053"/>
      <c r="R596" s="1054"/>
      <c r="S596" s="1054"/>
      <c r="T596" s="1054"/>
      <c r="U596" s="1054"/>
      <c r="V596" s="1054"/>
      <c r="W596" s="1054"/>
      <c r="X596" s="1054"/>
      <c r="Y596" s="1054"/>
    </row>
    <row r="597" spans="1:25">
      <c r="A597" s="1053"/>
      <c r="B597" s="1053"/>
      <c r="C597" s="1053"/>
      <c r="D597" s="1053"/>
      <c r="E597" s="1053"/>
      <c r="R597" s="1054"/>
      <c r="S597" s="1054"/>
      <c r="T597" s="1054"/>
      <c r="U597" s="1054"/>
      <c r="V597" s="1054"/>
      <c r="W597" s="1054"/>
      <c r="X597" s="1054"/>
      <c r="Y597" s="1054"/>
    </row>
    <row r="598" spans="1:25">
      <c r="A598" s="1053"/>
      <c r="B598" s="1053"/>
      <c r="C598" s="1053"/>
      <c r="D598" s="1053"/>
      <c r="E598" s="1053"/>
      <c r="R598" s="1054"/>
      <c r="S598" s="1054"/>
      <c r="T598" s="1054"/>
      <c r="U598" s="1054"/>
      <c r="V598" s="1054"/>
      <c r="W598" s="1054"/>
      <c r="X598" s="1054"/>
      <c r="Y598" s="1054"/>
    </row>
    <row r="599" spans="1:25">
      <c r="A599" s="1053"/>
      <c r="B599" s="1053"/>
      <c r="C599" s="1053"/>
      <c r="D599" s="1053"/>
      <c r="E599" s="1053"/>
      <c r="R599" s="1054"/>
      <c r="S599" s="1054"/>
      <c r="T599" s="1054"/>
      <c r="U599" s="1054"/>
      <c r="V599" s="1054"/>
      <c r="W599" s="1054"/>
      <c r="X599" s="1054"/>
      <c r="Y599" s="1054"/>
    </row>
    <row r="600" spans="1:25">
      <c r="A600" s="1053"/>
      <c r="B600" s="1053"/>
      <c r="C600" s="1053"/>
      <c r="D600" s="1053"/>
      <c r="E600" s="1053"/>
      <c r="R600" s="1054"/>
      <c r="S600" s="1054"/>
      <c r="T600" s="1054"/>
      <c r="U600" s="1054"/>
      <c r="V600" s="1054"/>
      <c r="W600" s="1054"/>
      <c r="X600" s="1054"/>
      <c r="Y600" s="1054"/>
    </row>
    <row r="601" spans="1:25">
      <c r="A601" s="1053"/>
      <c r="B601" s="1053"/>
      <c r="C601" s="1053"/>
      <c r="D601" s="1053"/>
      <c r="E601" s="1053"/>
      <c r="R601" s="1054"/>
      <c r="S601" s="1054"/>
      <c r="T601" s="1054"/>
      <c r="U601" s="1054"/>
      <c r="V601" s="1054"/>
      <c r="W601" s="1054"/>
      <c r="X601" s="1054"/>
      <c r="Y601" s="1054"/>
    </row>
    <row r="602" spans="1:25">
      <c r="A602" s="1053"/>
      <c r="B602" s="1053"/>
      <c r="C602" s="1053"/>
      <c r="D602" s="1053"/>
      <c r="E602" s="1053"/>
      <c r="R602" s="1054"/>
      <c r="S602" s="1054"/>
      <c r="T602" s="1054"/>
      <c r="U602" s="1054"/>
      <c r="V602" s="1054"/>
      <c r="W602" s="1054"/>
      <c r="X602" s="1054"/>
      <c r="Y602" s="1054"/>
    </row>
    <row r="603" spans="1:25">
      <c r="A603" s="1053"/>
      <c r="B603" s="1053"/>
      <c r="C603" s="1053"/>
      <c r="D603" s="1053"/>
      <c r="E603" s="1053"/>
      <c r="R603" s="1054"/>
      <c r="S603" s="1054"/>
      <c r="T603" s="1054"/>
      <c r="U603" s="1054"/>
      <c r="V603" s="1054"/>
      <c r="W603" s="1054"/>
      <c r="X603" s="1054"/>
      <c r="Y603" s="1054"/>
    </row>
    <row r="604" spans="1:25">
      <c r="A604" s="1053"/>
      <c r="B604" s="1053"/>
      <c r="C604" s="1053"/>
      <c r="D604" s="1053"/>
      <c r="E604" s="1053"/>
      <c r="R604" s="1054"/>
      <c r="S604" s="1054"/>
      <c r="T604" s="1054"/>
      <c r="U604" s="1054"/>
      <c r="V604" s="1054"/>
      <c r="W604" s="1054"/>
      <c r="X604" s="1054"/>
      <c r="Y604" s="1054"/>
    </row>
    <row r="605" spans="1:25">
      <c r="A605" s="1053"/>
      <c r="B605" s="1053"/>
      <c r="C605" s="1053"/>
      <c r="D605" s="1053"/>
      <c r="E605" s="1053"/>
      <c r="R605" s="1054"/>
      <c r="S605" s="1054"/>
      <c r="T605" s="1054"/>
      <c r="U605" s="1054"/>
      <c r="V605" s="1054"/>
      <c r="W605" s="1054"/>
      <c r="X605" s="1054"/>
      <c r="Y605" s="1054"/>
    </row>
    <row r="606" spans="1:25">
      <c r="A606" s="1053"/>
      <c r="B606" s="1053"/>
      <c r="C606" s="1053"/>
      <c r="D606" s="1053"/>
      <c r="E606" s="1053"/>
      <c r="R606" s="1054"/>
      <c r="S606" s="1054"/>
      <c r="T606" s="1054"/>
      <c r="U606" s="1054"/>
      <c r="V606" s="1054"/>
      <c r="W606" s="1054"/>
      <c r="X606" s="1054"/>
      <c r="Y606" s="1054"/>
    </row>
    <row r="607" spans="1:25">
      <c r="A607" s="1053"/>
      <c r="B607" s="1053"/>
      <c r="C607" s="1053"/>
      <c r="D607" s="1053"/>
      <c r="E607" s="1053"/>
      <c r="R607" s="1054"/>
      <c r="S607" s="1054"/>
      <c r="T607" s="1054"/>
      <c r="U607" s="1054"/>
      <c r="V607" s="1054"/>
      <c r="W607" s="1054"/>
      <c r="X607" s="1054"/>
      <c r="Y607" s="1054"/>
    </row>
    <row r="608" spans="1:25">
      <c r="A608" s="1053"/>
      <c r="B608" s="1053"/>
      <c r="C608" s="1053"/>
      <c r="D608" s="1053"/>
      <c r="E608" s="1053"/>
      <c r="R608" s="1054"/>
      <c r="S608" s="1054"/>
      <c r="T608" s="1054"/>
      <c r="U608" s="1054"/>
      <c r="V608" s="1054"/>
      <c r="W608" s="1054"/>
      <c r="X608" s="1054"/>
      <c r="Y608" s="1054"/>
    </row>
    <row r="609" spans="1:25">
      <c r="A609" s="1053"/>
      <c r="B609" s="1053"/>
      <c r="C609" s="1053"/>
      <c r="D609" s="1053"/>
      <c r="E609" s="1053"/>
      <c r="R609" s="1054"/>
      <c r="S609" s="1054"/>
      <c r="T609" s="1054"/>
      <c r="U609" s="1054"/>
      <c r="V609" s="1054"/>
      <c r="W609" s="1054"/>
      <c r="X609" s="1054"/>
      <c r="Y609" s="1054"/>
    </row>
    <row r="610" spans="1:25">
      <c r="A610" s="1053"/>
      <c r="B610" s="1053"/>
      <c r="C610" s="1053"/>
      <c r="D610" s="1053"/>
      <c r="E610" s="1053"/>
      <c r="R610" s="1054"/>
      <c r="S610" s="1054"/>
      <c r="T610" s="1054"/>
      <c r="U610" s="1054"/>
      <c r="V610" s="1054"/>
      <c r="W610" s="1054"/>
      <c r="X610" s="1054"/>
      <c r="Y610" s="1054"/>
    </row>
    <row r="611" spans="1:25">
      <c r="A611" s="1053"/>
      <c r="B611" s="1053"/>
      <c r="C611" s="1053"/>
      <c r="D611" s="1053"/>
      <c r="E611" s="1053"/>
      <c r="R611" s="1054"/>
      <c r="S611" s="1054"/>
      <c r="T611" s="1054"/>
      <c r="U611" s="1054"/>
      <c r="V611" s="1054"/>
      <c r="W611" s="1054"/>
      <c r="X611" s="1054"/>
      <c r="Y611" s="1054"/>
    </row>
    <row r="612" spans="1:25">
      <c r="A612" s="1053"/>
      <c r="B612" s="1053"/>
      <c r="C612" s="1053"/>
      <c r="D612" s="1053"/>
      <c r="E612" s="1053"/>
      <c r="R612" s="1054"/>
      <c r="S612" s="1054"/>
      <c r="T612" s="1054"/>
      <c r="U612" s="1054"/>
      <c r="V612" s="1054"/>
      <c r="W612" s="1054"/>
      <c r="X612" s="1054"/>
      <c r="Y612" s="1054"/>
    </row>
    <row r="613" spans="1:25">
      <c r="A613" s="1053"/>
      <c r="B613" s="1053"/>
      <c r="C613" s="1053"/>
      <c r="D613" s="1053"/>
      <c r="E613" s="1053"/>
      <c r="R613" s="1054"/>
      <c r="S613" s="1054"/>
      <c r="T613" s="1054"/>
      <c r="U613" s="1054"/>
      <c r="V613" s="1054"/>
      <c r="W613" s="1054"/>
      <c r="X613" s="1054"/>
      <c r="Y613" s="1054"/>
    </row>
    <row r="614" spans="1:25">
      <c r="A614" s="1053"/>
      <c r="B614" s="1053"/>
      <c r="C614" s="1053"/>
      <c r="D614" s="1053"/>
      <c r="E614" s="1053"/>
      <c r="R614" s="1054"/>
      <c r="S614" s="1054"/>
      <c r="T614" s="1054"/>
      <c r="U614" s="1054"/>
      <c r="V614" s="1054"/>
      <c r="W614" s="1054"/>
      <c r="X614" s="1054"/>
      <c r="Y614" s="1054"/>
    </row>
    <row r="615" spans="1:25">
      <c r="A615" s="1053"/>
      <c r="B615" s="1053"/>
      <c r="C615" s="1053"/>
      <c r="D615" s="1053"/>
      <c r="E615" s="1053"/>
      <c r="R615" s="1054"/>
      <c r="S615" s="1054"/>
      <c r="T615" s="1054"/>
      <c r="U615" s="1054"/>
      <c r="V615" s="1054"/>
      <c r="W615" s="1054"/>
      <c r="X615" s="1054"/>
      <c r="Y615" s="1054"/>
    </row>
    <row r="616" spans="1:25">
      <c r="A616" s="1053"/>
      <c r="B616" s="1053"/>
      <c r="C616" s="1053"/>
      <c r="D616" s="1053"/>
      <c r="E616" s="1053"/>
      <c r="R616" s="1054"/>
      <c r="S616" s="1054"/>
      <c r="T616" s="1054"/>
      <c r="U616" s="1054"/>
      <c r="V616" s="1054"/>
      <c r="W616" s="1054"/>
      <c r="X616" s="1054"/>
      <c r="Y616" s="1054"/>
    </row>
    <row r="617" spans="1:25">
      <c r="A617" s="1053"/>
      <c r="B617" s="1053"/>
      <c r="C617" s="1053"/>
      <c r="D617" s="1053"/>
      <c r="E617" s="1053"/>
      <c r="R617" s="1054"/>
      <c r="S617" s="1054"/>
      <c r="T617" s="1054"/>
      <c r="U617" s="1054"/>
      <c r="V617" s="1054"/>
      <c r="W617" s="1054"/>
      <c r="X617" s="1054"/>
      <c r="Y617" s="1054"/>
    </row>
    <row r="618" spans="1:25">
      <c r="A618" s="1053"/>
      <c r="B618" s="1053"/>
      <c r="C618" s="1053"/>
      <c r="D618" s="1053"/>
      <c r="E618" s="1053"/>
      <c r="R618" s="1054"/>
      <c r="S618" s="1054"/>
      <c r="T618" s="1054"/>
      <c r="U618" s="1054"/>
      <c r="V618" s="1054"/>
      <c r="W618" s="1054"/>
      <c r="X618" s="1054"/>
      <c r="Y618" s="1054"/>
    </row>
    <row r="619" spans="1:25">
      <c r="A619" s="1053"/>
      <c r="B619" s="1053"/>
      <c r="C619" s="1053"/>
      <c r="D619" s="1053"/>
      <c r="E619" s="1053"/>
      <c r="R619" s="1054"/>
      <c r="S619" s="1054"/>
      <c r="T619" s="1054"/>
      <c r="U619" s="1054"/>
      <c r="V619" s="1054"/>
      <c r="W619" s="1054"/>
      <c r="X619" s="1054"/>
      <c r="Y619" s="1054"/>
    </row>
    <row r="620" spans="1:25">
      <c r="A620" s="1053"/>
      <c r="B620" s="1053"/>
      <c r="C620" s="1053"/>
      <c r="D620" s="1053"/>
      <c r="E620" s="1053"/>
      <c r="R620" s="1054"/>
      <c r="S620" s="1054"/>
      <c r="T620" s="1054"/>
      <c r="U620" s="1054"/>
      <c r="V620" s="1054"/>
      <c r="W620" s="1054"/>
      <c r="X620" s="1054"/>
      <c r="Y620" s="1054"/>
    </row>
    <row r="621" spans="1:25">
      <c r="A621" s="1053"/>
      <c r="B621" s="1053"/>
      <c r="C621" s="1053"/>
      <c r="D621" s="1053"/>
      <c r="E621" s="1053"/>
      <c r="R621" s="1054"/>
      <c r="S621" s="1054"/>
      <c r="T621" s="1054"/>
      <c r="U621" s="1054"/>
      <c r="V621" s="1054"/>
      <c r="W621" s="1054"/>
      <c r="X621" s="1054"/>
      <c r="Y621" s="1054"/>
    </row>
    <row r="622" spans="1:25">
      <c r="A622" s="1053"/>
      <c r="B622" s="1053"/>
      <c r="C622" s="1053"/>
      <c r="D622" s="1053"/>
      <c r="E622" s="1053"/>
      <c r="R622" s="1054"/>
      <c r="S622" s="1054"/>
      <c r="T622" s="1054"/>
      <c r="U622" s="1054"/>
      <c r="V622" s="1054"/>
      <c r="W622" s="1054"/>
      <c r="X622" s="1054"/>
      <c r="Y622" s="1054"/>
    </row>
    <row r="623" spans="1:25">
      <c r="A623" s="1053"/>
      <c r="B623" s="1053"/>
      <c r="C623" s="1053"/>
      <c r="D623" s="1053"/>
      <c r="E623" s="1053"/>
      <c r="R623" s="1054"/>
      <c r="S623" s="1054"/>
      <c r="T623" s="1054"/>
      <c r="U623" s="1054"/>
      <c r="V623" s="1054"/>
      <c r="W623" s="1054"/>
      <c r="X623" s="1054"/>
      <c r="Y623" s="1054"/>
    </row>
    <row r="624" spans="1:25">
      <c r="A624" s="1053"/>
      <c r="B624" s="1053"/>
      <c r="C624" s="1053"/>
      <c r="D624" s="1053"/>
      <c r="E624" s="1053"/>
      <c r="R624" s="1054"/>
      <c r="S624" s="1054"/>
      <c r="T624" s="1054"/>
      <c r="U624" s="1054"/>
      <c r="V624" s="1054"/>
      <c r="W624" s="1054"/>
      <c r="X624" s="1054"/>
      <c r="Y624" s="1054"/>
    </row>
    <row r="625" spans="1:25">
      <c r="A625" s="1053"/>
      <c r="B625" s="1053"/>
      <c r="C625" s="1053"/>
      <c r="D625" s="1053"/>
      <c r="E625" s="1053"/>
      <c r="R625" s="1054"/>
      <c r="S625" s="1054"/>
      <c r="T625" s="1054"/>
      <c r="U625" s="1054"/>
      <c r="V625" s="1054"/>
      <c r="W625" s="1054"/>
      <c r="X625" s="1054"/>
      <c r="Y625" s="1054"/>
    </row>
    <row r="626" spans="1:25">
      <c r="A626" s="1053"/>
      <c r="B626" s="1053"/>
      <c r="C626" s="1053"/>
      <c r="D626" s="1053"/>
      <c r="E626" s="1053"/>
      <c r="R626" s="1054"/>
      <c r="S626" s="1054"/>
      <c r="T626" s="1054"/>
      <c r="U626" s="1054"/>
      <c r="V626" s="1054"/>
      <c r="W626" s="1054"/>
      <c r="X626" s="1054"/>
      <c r="Y626" s="1054"/>
    </row>
    <row r="627" spans="1:25">
      <c r="A627" s="1053"/>
      <c r="B627" s="1053"/>
      <c r="C627" s="1053"/>
      <c r="D627" s="1053"/>
      <c r="E627" s="1053"/>
      <c r="R627" s="1054"/>
      <c r="S627" s="1054"/>
      <c r="T627" s="1054"/>
      <c r="U627" s="1054"/>
      <c r="V627" s="1054"/>
      <c r="W627" s="1054"/>
      <c r="X627" s="1054"/>
      <c r="Y627" s="1054"/>
    </row>
    <row r="628" spans="1:25">
      <c r="A628" s="1053"/>
      <c r="B628" s="1053"/>
      <c r="C628" s="1053"/>
      <c r="D628" s="1053"/>
      <c r="E628" s="1053"/>
      <c r="R628" s="1054"/>
      <c r="S628" s="1054"/>
      <c r="T628" s="1054"/>
      <c r="U628" s="1054"/>
      <c r="V628" s="1054"/>
      <c r="W628" s="1054"/>
      <c r="X628" s="1054"/>
      <c r="Y628" s="1054"/>
    </row>
    <row r="629" spans="1:25">
      <c r="A629" s="1053"/>
      <c r="B629" s="1053"/>
      <c r="C629" s="1053"/>
      <c r="D629" s="1053"/>
      <c r="E629" s="1053"/>
      <c r="R629" s="1054"/>
      <c r="S629" s="1054"/>
      <c r="T629" s="1054"/>
      <c r="U629" s="1054"/>
      <c r="V629" s="1054"/>
      <c r="W629" s="1054"/>
      <c r="X629" s="1054"/>
      <c r="Y629" s="1054"/>
    </row>
    <row r="630" spans="1:25">
      <c r="A630" s="1053"/>
      <c r="B630" s="1053"/>
      <c r="C630" s="1053"/>
      <c r="D630" s="1053"/>
      <c r="E630" s="1053"/>
      <c r="R630" s="1054"/>
      <c r="S630" s="1054"/>
      <c r="T630" s="1054"/>
      <c r="U630" s="1054"/>
      <c r="V630" s="1054"/>
      <c r="W630" s="1054"/>
      <c r="X630" s="1054"/>
      <c r="Y630" s="1054"/>
    </row>
    <row r="631" spans="1:25">
      <c r="A631" s="1053"/>
      <c r="B631" s="1053"/>
      <c r="C631" s="1053"/>
      <c r="D631" s="1053"/>
      <c r="E631" s="1053"/>
      <c r="R631" s="1054"/>
      <c r="S631" s="1054"/>
      <c r="T631" s="1054"/>
      <c r="U631" s="1054"/>
      <c r="V631" s="1054"/>
      <c r="W631" s="1054"/>
      <c r="X631" s="1054"/>
      <c r="Y631" s="1054"/>
    </row>
    <row r="632" spans="1:25">
      <c r="A632" s="1053"/>
      <c r="B632" s="1053"/>
      <c r="C632" s="1053"/>
      <c r="D632" s="1053"/>
      <c r="E632" s="1053"/>
      <c r="R632" s="1054"/>
      <c r="S632" s="1054"/>
      <c r="T632" s="1054"/>
      <c r="U632" s="1054"/>
      <c r="V632" s="1054"/>
      <c r="W632" s="1054"/>
      <c r="X632" s="1054"/>
      <c r="Y632" s="1054"/>
    </row>
    <row r="633" spans="1:25">
      <c r="A633" s="1053"/>
      <c r="B633" s="1053"/>
      <c r="C633" s="1053"/>
      <c r="D633" s="1053"/>
      <c r="E633" s="1053"/>
      <c r="R633" s="1054"/>
      <c r="S633" s="1054"/>
      <c r="T633" s="1054"/>
      <c r="U633" s="1054"/>
      <c r="V633" s="1054"/>
      <c r="W633" s="1054"/>
      <c r="X633" s="1054"/>
      <c r="Y633" s="1054"/>
    </row>
    <row r="634" spans="1:25">
      <c r="A634" s="1053"/>
      <c r="B634" s="1053"/>
      <c r="C634" s="1053"/>
      <c r="D634" s="1053"/>
      <c r="E634" s="1053"/>
      <c r="R634" s="1054"/>
      <c r="S634" s="1054"/>
      <c r="T634" s="1054"/>
      <c r="U634" s="1054"/>
      <c r="V634" s="1054"/>
      <c r="W634" s="1054"/>
      <c r="X634" s="1054"/>
      <c r="Y634" s="1054"/>
    </row>
    <row r="635" spans="1:25">
      <c r="A635" s="1053"/>
      <c r="B635" s="1053"/>
      <c r="C635" s="1053"/>
      <c r="D635" s="1053"/>
      <c r="E635" s="1053"/>
      <c r="R635" s="1054"/>
      <c r="S635" s="1054"/>
      <c r="T635" s="1054"/>
      <c r="U635" s="1054"/>
      <c r="V635" s="1054"/>
      <c r="W635" s="1054"/>
      <c r="X635" s="1054"/>
      <c r="Y635" s="1054"/>
    </row>
    <row r="636" spans="1:25">
      <c r="A636" s="1053"/>
      <c r="B636" s="1053"/>
      <c r="C636" s="1053"/>
      <c r="D636" s="1053"/>
      <c r="E636" s="1053"/>
      <c r="R636" s="1054"/>
      <c r="S636" s="1054"/>
      <c r="T636" s="1054"/>
      <c r="U636" s="1054"/>
      <c r="V636" s="1054"/>
      <c r="W636" s="1054"/>
      <c r="X636" s="1054"/>
      <c r="Y636" s="1054"/>
    </row>
    <row r="637" spans="1:25">
      <c r="A637" s="1053"/>
      <c r="B637" s="1053"/>
      <c r="C637" s="1053"/>
      <c r="D637" s="1053"/>
      <c r="E637" s="1053"/>
      <c r="R637" s="1054"/>
      <c r="S637" s="1054"/>
      <c r="T637" s="1054"/>
      <c r="U637" s="1054"/>
      <c r="V637" s="1054"/>
      <c r="W637" s="1054"/>
      <c r="X637" s="1054"/>
      <c r="Y637" s="1054"/>
    </row>
    <row r="638" spans="1:25">
      <c r="A638" s="1053"/>
      <c r="B638" s="1053"/>
      <c r="C638" s="1053"/>
      <c r="D638" s="1053"/>
      <c r="E638" s="1053"/>
      <c r="R638" s="1054"/>
      <c r="S638" s="1054"/>
      <c r="T638" s="1054"/>
      <c r="U638" s="1054"/>
      <c r="V638" s="1054"/>
      <c r="W638" s="1054"/>
      <c r="X638" s="1054"/>
      <c r="Y638" s="1054"/>
    </row>
    <row r="639" spans="1:25">
      <c r="A639" s="1053"/>
      <c r="B639" s="1053"/>
      <c r="C639" s="1053"/>
      <c r="D639" s="1053"/>
      <c r="E639" s="1053"/>
      <c r="R639" s="1054"/>
      <c r="S639" s="1054"/>
      <c r="T639" s="1054"/>
      <c r="U639" s="1054"/>
      <c r="V639" s="1054"/>
      <c r="W639" s="1054"/>
      <c r="X639" s="1054"/>
      <c r="Y639" s="1054"/>
    </row>
    <row r="640" spans="1:25">
      <c r="A640" s="1053"/>
      <c r="B640" s="1053"/>
      <c r="C640" s="1053"/>
      <c r="D640" s="1053"/>
      <c r="E640" s="1053"/>
      <c r="R640" s="1054"/>
      <c r="S640" s="1054"/>
      <c r="T640" s="1054"/>
      <c r="U640" s="1054"/>
      <c r="V640" s="1054"/>
      <c r="W640" s="1054"/>
      <c r="X640" s="1054"/>
      <c r="Y640" s="1054"/>
    </row>
    <row r="641" spans="1:25">
      <c r="A641" s="1053"/>
      <c r="B641" s="1053"/>
      <c r="C641" s="1053"/>
      <c r="D641" s="1053"/>
      <c r="E641" s="1053"/>
      <c r="R641" s="1054"/>
      <c r="S641" s="1054"/>
      <c r="T641" s="1054"/>
      <c r="U641" s="1054"/>
      <c r="V641" s="1054"/>
      <c r="W641" s="1054"/>
      <c r="X641" s="1054"/>
      <c r="Y641" s="1054"/>
    </row>
    <row r="642" spans="1:25">
      <c r="A642" s="1053"/>
      <c r="B642" s="1053"/>
      <c r="C642" s="1053"/>
      <c r="D642" s="1053"/>
      <c r="E642" s="1053"/>
      <c r="R642" s="1054"/>
      <c r="S642" s="1054"/>
      <c r="T642" s="1054"/>
      <c r="U642" s="1054"/>
      <c r="V642" s="1054"/>
      <c r="W642" s="1054"/>
      <c r="X642" s="1054"/>
      <c r="Y642" s="1054"/>
    </row>
    <row r="643" spans="1:25">
      <c r="A643" s="1053"/>
      <c r="B643" s="1053"/>
      <c r="C643" s="1053"/>
      <c r="D643" s="1053"/>
      <c r="E643" s="1053"/>
      <c r="R643" s="1054"/>
      <c r="S643" s="1054"/>
      <c r="T643" s="1054"/>
      <c r="U643" s="1054"/>
      <c r="V643" s="1054"/>
      <c r="W643" s="1054"/>
      <c r="X643" s="1054"/>
      <c r="Y643" s="1054"/>
    </row>
    <row r="644" spans="1:25">
      <c r="A644" s="1053"/>
      <c r="B644" s="1053"/>
      <c r="C644" s="1053"/>
      <c r="D644" s="1053"/>
      <c r="E644" s="1053"/>
      <c r="R644" s="1054"/>
      <c r="S644" s="1054"/>
      <c r="T644" s="1054"/>
      <c r="U644" s="1054"/>
      <c r="V644" s="1054"/>
      <c r="W644" s="1054"/>
      <c r="X644" s="1054"/>
      <c r="Y644" s="1054"/>
    </row>
    <row r="645" spans="1:25">
      <c r="A645" s="1053"/>
      <c r="B645" s="1053"/>
      <c r="C645" s="1053"/>
      <c r="D645" s="1053"/>
      <c r="E645" s="1053"/>
      <c r="R645" s="1054"/>
      <c r="S645" s="1054"/>
      <c r="T645" s="1054"/>
      <c r="U645" s="1054"/>
      <c r="V645" s="1054"/>
      <c r="W645" s="1054"/>
      <c r="X645" s="1054"/>
      <c r="Y645" s="1054"/>
    </row>
    <row r="646" spans="1:25">
      <c r="A646" s="1053"/>
      <c r="B646" s="1053"/>
      <c r="C646" s="1053"/>
      <c r="D646" s="1053"/>
      <c r="E646" s="1053"/>
      <c r="R646" s="1054"/>
      <c r="S646" s="1054"/>
      <c r="T646" s="1054"/>
      <c r="U646" s="1054"/>
      <c r="V646" s="1054"/>
      <c r="W646" s="1054"/>
      <c r="X646" s="1054"/>
      <c r="Y646" s="1054"/>
    </row>
    <row r="647" spans="1:25">
      <c r="A647" s="1053"/>
      <c r="B647" s="1053"/>
      <c r="C647" s="1053"/>
      <c r="D647" s="1053"/>
      <c r="E647" s="1053"/>
      <c r="R647" s="1054"/>
      <c r="S647" s="1054"/>
      <c r="T647" s="1054"/>
      <c r="U647" s="1054"/>
      <c r="V647" s="1054"/>
      <c r="W647" s="1054"/>
      <c r="X647" s="1054"/>
      <c r="Y647" s="1054"/>
    </row>
    <row r="648" spans="1:25">
      <c r="A648" s="1053"/>
      <c r="B648" s="1053"/>
      <c r="C648" s="1053"/>
      <c r="D648" s="1053"/>
      <c r="E648" s="1053"/>
      <c r="R648" s="1054"/>
      <c r="S648" s="1054"/>
      <c r="T648" s="1054"/>
      <c r="U648" s="1054"/>
      <c r="V648" s="1054"/>
      <c r="W648" s="1054"/>
      <c r="X648" s="1054"/>
      <c r="Y648" s="1054"/>
    </row>
    <row r="649" spans="1:25">
      <c r="A649" s="1053"/>
      <c r="B649" s="1053"/>
      <c r="C649" s="1053"/>
      <c r="D649" s="1053"/>
      <c r="E649" s="1053"/>
      <c r="R649" s="1054"/>
      <c r="S649" s="1054"/>
      <c r="T649" s="1054"/>
      <c r="U649" s="1054"/>
      <c r="V649" s="1054"/>
      <c r="W649" s="1054"/>
      <c r="X649" s="1054"/>
      <c r="Y649" s="1054"/>
    </row>
    <row r="650" spans="1:25">
      <c r="A650" s="1053"/>
      <c r="B650" s="1053"/>
      <c r="C650" s="1053"/>
      <c r="D650" s="1053"/>
      <c r="E650" s="1053"/>
      <c r="R650" s="1054"/>
      <c r="S650" s="1054"/>
      <c r="T650" s="1054"/>
      <c r="U650" s="1054"/>
      <c r="V650" s="1054"/>
      <c r="W650" s="1054"/>
      <c r="X650" s="1054"/>
      <c r="Y650" s="1054"/>
    </row>
    <row r="651" spans="1:25">
      <c r="A651" s="1053"/>
      <c r="B651" s="1053"/>
      <c r="C651" s="1053"/>
      <c r="D651" s="1053"/>
      <c r="E651" s="1053"/>
      <c r="R651" s="1054"/>
      <c r="S651" s="1054"/>
      <c r="T651" s="1054"/>
      <c r="U651" s="1054"/>
      <c r="V651" s="1054"/>
      <c r="W651" s="1054"/>
      <c r="X651" s="1054"/>
      <c r="Y651" s="1054"/>
    </row>
    <row r="652" spans="1:25">
      <c r="A652" s="1053"/>
      <c r="B652" s="1053"/>
      <c r="C652" s="1053"/>
      <c r="D652" s="1053"/>
      <c r="E652" s="1053"/>
      <c r="R652" s="1054"/>
      <c r="S652" s="1054"/>
      <c r="T652" s="1054"/>
      <c r="U652" s="1054"/>
      <c r="V652" s="1054"/>
      <c r="W652" s="1054"/>
      <c r="X652" s="1054"/>
      <c r="Y652" s="1054"/>
    </row>
    <row r="653" spans="1:25">
      <c r="A653" s="1053"/>
      <c r="B653" s="1053"/>
      <c r="C653" s="1053"/>
      <c r="D653" s="1053"/>
      <c r="E653" s="1053"/>
      <c r="R653" s="1054"/>
      <c r="S653" s="1054"/>
      <c r="T653" s="1054"/>
      <c r="U653" s="1054"/>
      <c r="V653" s="1054"/>
      <c r="W653" s="1054"/>
      <c r="X653" s="1054"/>
      <c r="Y653" s="1054"/>
    </row>
    <row r="654" spans="1:25">
      <c r="A654" s="1053"/>
      <c r="B654" s="1053"/>
      <c r="C654" s="1053"/>
      <c r="D654" s="1053"/>
      <c r="E654" s="1053"/>
      <c r="R654" s="1054"/>
      <c r="S654" s="1054"/>
      <c r="T654" s="1054"/>
      <c r="U654" s="1054"/>
      <c r="V654" s="1054"/>
      <c r="W654" s="1054"/>
      <c r="X654" s="1054"/>
      <c r="Y654" s="1054"/>
    </row>
    <row r="655" spans="1:25">
      <c r="A655" s="1053"/>
      <c r="B655" s="1053"/>
      <c r="C655" s="1053"/>
      <c r="D655" s="1053"/>
      <c r="E655" s="1053"/>
      <c r="R655" s="1054"/>
      <c r="S655" s="1054"/>
      <c r="T655" s="1054"/>
      <c r="U655" s="1054"/>
      <c r="V655" s="1054"/>
      <c r="W655" s="1054"/>
      <c r="X655" s="1054"/>
      <c r="Y655" s="1054"/>
    </row>
    <row r="656" spans="1:25">
      <c r="A656" s="1053"/>
      <c r="B656" s="1053"/>
      <c r="C656" s="1053"/>
      <c r="D656" s="1053"/>
      <c r="E656" s="1053"/>
      <c r="R656" s="1054"/>
      <c r="S656" s="1054"/>
      <c r="T656" s="1054"/>
      <c r="U656" s="1054"/>
      <c r="V656" s="1054"/>
      <c r="W656" s="1054"/>
      <c r="X656" s="1054"/>
      <c r="Y656" s="1054"/>
    </row>
    <row r="657" spans="1:25">
      <c r="A657" s="1053"/>
      <c r="B657" s="1053"/>
      <c r="C657" s="1053"/>
      <c r="D657" s="1053"/>
      <c r="E657" s="1053"/>
      <c r="R657" s="1054"/>
      <c r="S657" s="1054"/>
      <c r="T657" s="1054"/>
      <c r="U657" s="1054"/>
      <c r="V657" s="1054"/>
      <c r="W657" s="1054"/>
      <c r="X657" s="1054"/>
      <c r="Y657" s="1054"/>
    </row>
    <row r="658" spans="1:25">
      <c r="A658" s="1053"/>
      <c r="B658" s="1053"/>
      <c r="C658" s="1053"/>
      <c r="D658" s="1053"/>
      <c r="E658" s="1053"/>
      <c r="R658" s="1054"/>
      <c r="S658" s="1054"/>
      <c r="T658" s="1054"/>
      <c r="U658" s="1054"/>
      <c r="V658" s="1054"/>
      <c r="W658" s="1054"/>
      <c r="X658" s="1054"/>
      <c r="Y658" s="1054"/>
    </row>
    <row r="659" spans="1:25">
      <c r="A659" s="1053"/>
      <c r="B659" s="1053"/>
      <c r="C659" s="1053"/>
      <c r="D659" s="1053"/>
      <c r="E659" s="1053"/>
      <c r="R659" s="1054"/>
      <c r="S659" s="1054"/>
      <c r="T659" s="1054"/>
      <c r="U659" s="1054"/>
      <c r="V659" s="1054"/>
      <c r="W659" s="1054"/>
      <c r="X659" s="1054"/>
      <c r="Y659" s="1054"/>
    </row>
    <row r="660" spans="1:25">
      <c r="A660" s="1053"/>
      <c r="B660" s="1053"/>
      <c r="C660" s="1053"/>
      <c r="D660" s="1053"/>
      <c r="E660" s="1053"/>
      <c r="R660" s="1054"/>
      <c r="S660" s="1054"/>
      <c r="T660" s="1054"/>
      <c r="U660" s="1054"/>
      <c r="V660" s="1054"/>
      <c r="W660" s="1054"/>
      <c r="X660" s="1054"/>
      <c r="Y660" s="1054"/>
    </row>
    <row r="661" spans="1:25">
      <c r="A661" s="1053"/>
      <c r="B661" s="1053"/>
      <c r="C661" s="1053"/>
      <c r="D661" s="1053"/>
      <c r="E661" s="1053"/>
      <c r="R661" s="1054"/>
      <c r="S661" s="1054"/>
      <c r="T661" s="1054"/>
      <c r="U661" s="1054"/>
      <c r="V661" s="1054"/>
      <c r="W661" s="1054"/>
      <c r="X661" s="1054"/>
      <c r="Y661" s="1054"/>
    </row>
    <row r="662" spans="1:25">
      <c r="A662" s="1053"/>
      <c r="B662" s="1053"/>
      <c r="C662" s="1053"/>
      <c r="D662" s="1053"/>
      <c r="E662" s="1053"/>
      <c r="R662" s="1054"/>
      <c r="S662" s="1054"/>
      <c r="T662" s="1054"/>
      <c r="U662" s="1054"/>
      <c r="V662" s="1054"/>
      <c r="W662" s="1054"/>
      <c r="X662" s="1054"/>
      <c r="Y662" s="1054"/>
    </row>
    <row r="663" spans="1:25">
      <c r="A663" s="1053"/>
      <c r="B663" s="1053"/>
      <c r="C663" s="1053"/>
      <c r="D663" s="1053"/>
      <c r="E663" s="1053"/>
      <c r="R663" s="1054"/>
      <c r="S663" s="1054"/>
      <c r="T663" s="1054"/>
      <c r="U663" s="1054"/>
      <c r="V663" s="1054"/>
      <c r="W663" s="1054"/>
      <c r="X663" s="1054"/>
      <c r="Y663" s="1054"/>
    </row>
    <row r="664" spans="1:25">
      <c r="A664" s="1053"/>
      <c r="B664" s="1053"/>
      <c r="C664" s="1053"/>
      <c r="D664" s="1053"/>
      <c r="E664" s="1053"/>
      <c r="R664" s="1054"/>
      <c r="S664" s="1054"/>
      <c r="T664" s="1054"/>
      <c r="U664" s="1054"/>
      <c r="V664" s="1054"/>
      <c r="W664" s="1054"/>
      <c r="X664" s="1054"/>
      <c r="Y664" s="1054"/>
    </row>
    <row r="665" spans="1:25">
      <c r="A665" s="1053"/>
      <c r="B665" s="1053"/>
      <c r="C665" s="1053"/>
      <c r="D665" s="1053"/>
      <c r="E665" s="1053"/>
      <c r="R665" s="1054"/>
      <c r="S665" s="1054"/>
      <c r="T665" s="1054"/>
      <c r="U665" s="1054"/>
      <c r="V665" s="1054"/>
      <c r="W665" s="1054"/>
      <c r="X665" s="1054"/>
      <c r="Y665" s="1054"/>
    </row>
    <row r="666" spans="1:25">
      <c r="A666" s="1053"/>
      <c r="B666" s="1053"/>
      <c r="C666" s="1053"/>
      <c r="D666" s="1053"/>
      <c r="E666" s="1053"/>
      <c r="R666" s="1054"/>
      <c r="S666" s="1054"/>
      <c r="T666" s="1054"/>
      <c r="U666" s="1054"/>
      <c r="V666" s="1054"/>
      <c r="W666" s="1054"/>
      <c r="X666" s="1054"/>
      <c r="Y666" s="1054"/>
    </row>
    <row r="667" spans="1:25">
      <c r="A667" s="1053"/>
      <c r="B667" s="1053"/>
      <c r="C667" s="1053"/>
      <c r="D667" s="1053"/>
      <c r="E667" s="1053"/>
      <c r="R667" s="1054"/>
      <c r="S667" s="1054"/>
      <c r="T667" s="1054"/>
      <c r="U667" s="1054"/>
      <c r="V667" s="1054"/>
      <c r="W667" s="1054"/>
      <c r="X667" s="1054"/>
      <c r="Y667" s="1054"/>
    </row>
    <row r="668" spans="1:25">
      <c r="A668" s="1053"/>
      <c r="B668" s="1053"/>
      <c r="C668" s="1053"/>
      <c r="D668" s="1053"/>
      <c r="E668" s="1053"/>
      <c r="R668" s="1054"/>
      <c r="S668" s="1054"/>
      <c r="T668" s="1054"/>
      <c r="U668" s="1054"/>
      <c r="V668" s="1054"/>
      <c r="W668" s="1054"/>
      <c r="X668" s="1054"/>
      <c r="Y668" s="1054"/>
    </row>
    <row r="669" spans="1:25">
      <c r="A669" s="1053"/>
      <c r="B669" s="1053"/>
      <c r="C669" s="1053"/>
      <c r="D669" s="1053"/>
      <c r="E669" s="1053"/>
      <c r="R669" s="1054"/>
      <c r="S669" s="1054"/>
      <c r="T669" s="1054"/>
      <c r="U669" s="1054"/>
      <c r="V669" s="1054"/>
      <c r="W669" s="1054"/>
      <c r="X669" s="1054"/>
      <c r="Y669" s="1054"/>
    </row>
    <row r="670" spans="1:25">
      <c r="A670" s="1053"/>
      <c r="B670" s="1053"/>
      <c r="C670" s="1053"/>
      <c r="D670" s="1053"/>
      <c r="E670" s="1053"/>
      <c r="R670" s="1054"/>
      <c r="S670" s="1054"/>
      <c r="T670" s="1054"/>
      <c r="U670" s="1054"/>
      <c r="V670" s="1054"/>
      <c r="W670" s="1054"/>
      <c r="X670" s="1054"/>
      <c r="Y670" s="1054"/>
    </row>
    <row r="671" spans="1:25">
      <c r="A671" s="1053"/>
      <c r="B671" s="1053"/>
      <c r="C671" s="1053"/>
      <c r="D671" s="1053"/>
      <c r="E671" s="1053"/>
      <c r="R671" s="1054"/>
      <c r="S671" s="1054"/>
      <c r="T671" s="1054"/>
      <c r="U671" s="1054"/>
      <c r="V671" s="1054"/>
      <c r="W671" s="1054"/>
      <c r="X671" s="1054"/>
      <c r="Y671" s="1054"/>
    </row>
    <row r="672" spans="1:25">
      <c r="A672" s="1053"/>
      <c r="B672" s="1053"/>
      <c r="C672" s="1053"/>
      <c r="D672" s="1053"/>
      <c r="E672" s="1053"/>
      <c r="R672" s="1054"/>
      <c r="S672" s="1054"/>
      <c r="T672" s="1054"/>
      <c r="U672" s="1054"/>
      <c r="V672" s="1054"/>
      <c r="W672" s="1054"/>
      <c r="X672" s="1054"/>
      <c r="Y672" s="1054"/>
    </row>
    <row r="673" spans="1:25">
      <c r="A673" s="1053"/>
      <c r="B673" s="1053"/>
      <c r="C673" s="1053"/>
      <c r="D673" s="1053"/>
      <c r="E673" s="1053"/>
      <c r="R673" s="1054"/>
      <c r="S673" s="1054"/>
      <c r="T673" s="1054"/>
      <c r="U673" s="1054"/>
      <c r="V673" s="1054"/>
      <c r="W673" s="1054"/>
      <c r="X673" s="1054"/>
      <c r="Y673" s="1054"/>
    </row>
    <row r="674" spans="1:25">
      <c r="A674" s="1053"/>
      <c r="B674" s="1053"/>
      <c r="C674" s="1053"/>
      <c r="D674" s="1053"/>
      <c r="E674" s="1053"/>
      <c r="R674" s="1054"/>
      <c r="S674" s="1054"/>
      <c r="T674" s="1054"/>
      <c r="U674" s="1054"/>
      <c r="V674" s="1054"/>
      <c r="W674" s="1054"/>
      <c r="X674" s="1054"/>
      <c r="Y674" s="1054"/>
    </row>
    <row r="675" spans="1:25">
      <c r="A675" s="1053"/>
      <c r="B675" s="1053"/>
      <c r="C675" s="1053"/>
      <c r="D675" s="1053"/>
      <c r="E675" s="1053"/>
      <c r="R675" s="1054"/>
      <c r="S675" s="1054"/>
      <c r="T675" s="1054"/>
      <c r="U675" s="1054"/>
      <c r="V675" s="1054"/>
      <c r="W675" s="1054"/>
      <c r="X675" s="1054"/>
      <c r="Y675" s="1054"/>
    </row>
    <row r="676" spans="1:25">
      <c r="A676" s="1053"/>
      <c r="B676" s="1053"/>
      <c r="C676" s="1053"/>
      <c r="D676" s="1053"/>
      <c r="E676" s="1053"/>
      <c r="R676" s="1054"/>
      <c r="S676" s="1054"/>
      <c r="T676" s="1054"/>
      <c r="U676" s="1054"/>
      <c r="V676" s="1054"/>
      <c r="W676" s="1054"/>
      <c r="X676" s="1054"/>
      <c r="Y676" s="1054"/>
    </row>
    <row r="677" spans="1:25">
      <c r="A677" s="1053"/>
      <c r="B677" s="1053"/>
      <c r="C677" s="1053"/>
      <c r="D677" s="1053"/>
      <c r="E677" s="1053"/>
      <c r="R677" s="1054"/>
      <c r="S677" s="1054"/>
      <c r="T677" s="1054"/>
      <c r="U677" s="1054"/>
      <c r="V677" s="1054"/>
      <c r="W677" s="1054"/>
      <c r="X677" s="1054"/>
      <c r="Y677" s="1054"/>
    </row>
    <row r="678" spans="1:25">
      <c r="A678" s="1053"/>
      <c r="B678" s="1053"/>
      <c r="C678" s="1053"/>
      <c r="D678" s="1053"/>
      <c r="E678" s="1053"/>
      <c r="R678" s="1054"/>
      <c r="S678" s="1054"/>
      <c r="T678" s="1054"/>
      <c r="U678" s="1054"/>
      <c r="V678" s="1054"/>
      <c r="W678" s="1054"/>
      <c r="X678" s="1054"/>
      <c r="Y678" s="1054"/>
    </row>
    <row r="679" spans="1:25">
      <c r="A679" s="1053"/>
      <c r="B679" s="1053"/>
      <c r="C679" s="1053"/>
      <c r="D679" s="1053"/>
      <c r="E679" s="1053"/>
      <c r="R679" s="1054"/>
      <c r="S679" s="1054"/>
      <c r="T679" s="1054"/>
      <c r="U679" s="1054"/>
      <c r="V679" s="1054"/>
      <c r="W679" s="1054"/>
      <c r="X679" s="1054"/>
      <c r="Y679" s="1054"/>
    </row>
    <row r="680" spans="1:25">
      <c r="A680" s="1053"/>
      <c r="B680" s="1053"/>
      <c r="C680" s="1053"/>
      <c r="D680" s="1053"/>
      <c r="E680" s="1053"/>
      <c r="R680" s="1054"/>
      <c r="S680" s="1054"/>
      <c r="T680" s="1054"/>
      <c r="U680" s="1054"/>
      <c r="V680" s="1054"/>
      <c r="W680" s="1054"/>
      <c r="X680" s="1054"/>
      <c r="Y680" s="1054"/>
    </row>
    <row r="681" spans="1:25">
      <c r="A681" s="1053"/>
      <c r="B681" s="1053"/>
      <c r="C681" s="1053"/>
      <c r="D681" s="1053"/>
      <c r="E681" s="1053"/>
      <c r="R681" s="1054"/>
      <c r="S681" s="1054"/>
      <c r="T681" s="1054"/>
      <c r="U681" s="1054"/>
      <c r="V681" s="1054"/>
      <c r="W681" s="1054"/>
      <c r="X681" s="1054"/>
      <c r="Y681" s="1054"/>
    </row>
    <row r="682" spans="1:25">
      <c r="A682" s="1053"/>
      <c r="B682" s="1053"/>
      <c r="C682" s="1053"/>
      <c r="D682" s="1053"/>
      <c r="E682" s="1053"/>
      <c r="R682" s="1054"/>
      <c r="S682" s="1054"/>
      <c r="T682" s="1054"/>
      <c r="U682" s="1054"/>
      <c r="V682" s="1054"/>
      <c r="W682" s="1054"/>
      <c r="X682" s="1054"/>
      <c r="Y682" s="1054"/>
    </row>
    <row r="683" spans="1:25">
      <c r="A683" s="1053"/>
      <c r="B683" s="1053"/>
      <c r="C683" s="1053"/>
      <c r="D683" s="1053"/>
      <c r="E683" s="1053"/>
      <c r="R683" s="1054"/>
      <c r="S683" s="1054"/>
      <c r="T683" s="1054"/>
      <c r="U683" s="1054"/>
      <c r="V683" s="1054"/>
      <c r="W683" s="1054"/>
      <c r="X683" s="1054"/>
      <c r="Y683" s="1054"/>
    </row>
    <row r="684" spans="1:25">
      <c r="A684" s="1053"/>
      <c r="B684" s="1053"/>
      <c r="C684" s="1053"/>
      <c r="D684" s="1053"/>
      <c r="E684" s="1053"/>
      <c r="R684" s="1054"/>
      <c r="S684" s="1054"/>
      <c r="T684" s="1054"/>
      <c r="U684" s="1054"/>
      <c r="V684" s="1054"/>
      <c r="W684" s="1054"/>
      <c r="X684" s="1054"/>
      <c r="Y684" s="1054"/>
    </row>
    <row r="685" spans="1:25">
      <c r="A685" s="1053"/>
      <c r="B685" s="1053"/>
      <c r="C685" s="1053"/>
      <c r="D685" s="1053"/>
      <c r="E685" s="1053"/>
      <c r="R685" s="1054"/>
      <c r="S685" s="1054"/>
      <c r="T685" s="1054"/>
      <c r="U685" s="1054"/>
      <c r="V685" s="1054"/>
      <c r="W685" s="1054"/>
      <c r="X685" s="1054"/>
      <c r="Y685" s="1054"/>
    </row>
    <row r="686" spans="1:25">
      <c r="A686" s="1053"/>
      <c r="B686" s="1053"/>
      <c r="C686" s="1053"/>
      <c r="D686" s="1053"/>
      <c r="E686" s="1053"/>
      <c r="R686" s="1054"/>
      <c r="S686" s="1054"/>
      <c r="T686" s="1054"/>
      <c r="U686" s="1054"/>
      <c r="V686" s="1054"/>
      <c r="W686" s="1054"/>
      <c r="X686" s="1054"/>
      <c r="Y686" s="1054"/>
    </row>
    <row r="687" spans="1:25">
      <c r="A687" s="1053"/>
      <c r="B687" s="1053"/>
      <c r="C687" s="1053"/>
      <c r="D687" s="1053"/>
      <c r="E687" s="1053"/>
      <c r="R687" s="1054"/>
      <c r="S687" s="1054"/>
      <c r="T687" s="1054"/>
      <c r="U687" s="1054"/>
      <c r="V687" s="1054"/>
      <c r="W687" s="1054"/>
      <c r="X687" s="1054"/>
      <c r="Y687" s="1054"/>
    </row>
    <row r="688" spans="1:25">
      <c r="A688" s="1053"/>
      <c r="B688" s="1053"/>
      <c r="C688" s="1053"/>
      <c r="D688" s="1053"/>
      <c r="E688" s="1053"/>
      <c r="R688" s="1054"/>
      <c r="S688" s="1054"/>
      <c r="T688" s="1054"/>
      <c r="U688" s="1054"/>
      <c r="V688" s="1054"/>
      <c r="W688" s="1054"/>
      <c r="X688" s="1054"/>
      <c r="Y688" s="1054"/>
    </row>
    <row r="689" spans="1:25">
      <c r="A689" s="1053"/>
      <c r="B689" s="1053"/>
      <c r="C689" s="1053"/>
      <c r="D689" s="1053"/>
      <c r="E689" s="1053"/>
      <c r="R689" s="1054"/>
      <c r="S689" s="1054"/>
      <c r="T689" s="1054"/>
      <c r="U689" s="1054"/>
      <c r="V689" s="1054"/>
      <c r="W689" s="1054"/>
      <c r="X689" s="1054"/>
      <c r="Y689" s="1054"/>
    </row>
    <row r="690" spans="1:25">
      <c r="A690" s="1053"/>
      <c r="B690" s="1053"/>
      <c r="C690" s="1053"/>
      <c r="D690" s="1053"/>
      <c r="E690" s="1053"/>
      <c r="R690" s="1054"/>
      <c r="S690" s="1054"/>
      <c r="T690" s="1054"/>
      <c r="U690" s="1054"/>
      <c r="V690" s="1054"/>
      <c r="W690" s="1054"/>
      <c r="X690" s="1054"/>
      <c r="Y690" s="1054"/>
    </row>
    <row r="691" spans="1:25">
      <c r="A691" s="1053"/>
      <c r="B691" s="1053"/>
      <c r="C691" s="1053"/>
      <c r="D691" s="1053"/>
      <c r="E691" s="1053"/>
      <c r="R691" s="1054"/>
      <c r="S691" s="1054"/>
      <c r="T691" s="1054"/>
      <c r="U691" s="1054"/>
      <c r="V691" s="1054"/>
      <c r="W691" s="1054"/>
      <c r="X691" s="1054"/>
      <c r="Y691" s="1054"/>
    </row>
    <row r="692" spans="1:25">
      <c r="A692" s="1053"/>
      <c r="B692" s="1053"/>
      <c r="C692" s="1053"/>
      <c r="D692" s="1053"/>
      <c r="E692" s="1053"/>
      <c r="R692" s="1054"/>
      <c r="S692" s="1054"/>
      <c r="T692" s="1054"/>
      <c r="U692" s="1054"/>
      <c r="V692" s="1054"/>
      <c r="W692" s="1054"/>
      <c r="X692" s="1054"/>
      <c r="Y692" s="1054"/>
    </row>
    <row r="693" spans="1:25">
      <c r="A693" s="1053"/>
      <c r="B693" s="1053"/>
      <c r="C693" s="1053"/>
      <c r="D693" s="1053"/>
      <c r="E693" s="1053"/>
      <c r="R693" s="1054"/>
      <c r="S693" s="1054"/>
      <c r="T693" s="1054"/>
      <c r="U693" s="1054"/>
      <c r="V693" s="1054"/>
      <c r="W693" s="1054"/>
      <c r="X693" s="1054"/>
      <c r="Y693" s="1054"/>
    </row>
    <row r="694" spans="1:25">
      <c r="A694" s="1053"/>
      <c r="B694" s="1053"/>
      <c r="C694" s="1053"/>
      <c r="D694" s="1053"/>
      <c r="E694" s="1053"/>
      <c r="R694" s="1054"/>
      <c r="S694" s="1054"/>
      <c r="T694" s="1054"/>
      <c r="U694" s="1054"/>
      <c r="V694" s="1054"/>
      <c r="W694" s="1054"/>
      <c r="X694" s="1054"/>
      <c r="Y694" s="1054"/>
    </row>
    <row r="695" spans="1:25">
      <c r="A695" s="1053"/>
      <c r="B695" s="1053"/>
      <c r="C695" s="1053"/>
      <c r="D695" s="1053"/>
      <c r="E695" s="1053"/>
      <c r="R695" s="1054"/>
      <c r="S695" s="1054"/>
      <c r="T695" s="1054"/>
      <c r="U695" s="1054"/>
      <c r="V695" s="1054"/>
      <c r="W695" s="1054"/>
      <c r="X695" s="1054"/>
      <c r="Y695" s="1054"/>
    </row>
    <row r="696" spans="1:25">
      <c r="A696" s="1053"/>
      <c r="B696" s="1053"/>
      <c r="C696" s="1053"/>
      <c r="D696" s="1053"/>
      <c r="E696" s="1053"/>
      <c r="R696" s="1054"/>
      <c r="S696" s="1054"/>
      <c r="T696" s="1054"/>
      <c r="U696" s="1054"/>
      <c r="V696" s="1054"/>
      <c r="W696" s="1054"/>
      <c r="X696" s="1054"/>
      <c r="Y696" s="1054"/>
    </row>
    <row r="697" spans="1:25">
      <c r="A697" s="1053"/>
      <c r="B697" s="1053"/>
      <c r="C697" s="1053"/>
      <c r="D697" s="1053"/>
      <c r="E697" s="1053"/>
      <c r="R697" s="1054"/>
      <c r="S697" s="1054"/>
      <c r="T697" s="1054"/>
      <c r="U697" s="1054"/>
      <c r="V697" s="1054"/>
      <c r="W697" s="1054"/>
      <c r="X697" s="1054"/>
      <c r="Y697" s="1054"/>
    </row>
    <row r="698" spans="1:25">
      <c r="A698" s="1053"/>
      <c r="B698" s="1053"/>
      <c r="C698" s="1053"/>
      <c r="D698" s="1053"/>
      <c r="E698" s="1053"/>
      <c r="R698" s="1054"/>
      <c r="S698" s="1054"/>
      <c r="T698" s="1054"/>
      <c r="U698" s="1054"/>
      <c r="V698" s="1054"/>
      <c r="W698" s="1054"/>
      <c r="X698" s="1054"/>
      <c r="Y698" s="1054"/>
    </row>
    <row r="699" spans="1:25">
      <c r="A699" s="1053"/>
      <c r="B699" s="1053"/>
      <c r="C699" s="1053"/>
      <c r="D699" s="1053"/>
      <c r="E699" s="1053"/>
      <c r="R699" s="1054"/>
      <c r="S699" s="1054"/>
      <c r="T699" s="1054"/>
      <c r="U699" s="1054"/>
      <c r="V699" s="1054"/>
      <c r="W699" s="1054"/>
      <c r="X699" s="1054"/>
      <c r="Y699" s="1054"/>
    </row>
    <row r="700" spans="1:25">
      <c r="A700" s="1053"/>
      <c r="B700" s="1053"/>
      <c r="C700" s="1053"/>
      <c r="D700" s="1053"/>
      <c r="E700" s="1053"/>
      <c r="R700" s="1054"/>
      <c r="S700" s="1054"/>
      <c r="T700" s="1054"/>
      <c r="U700" s="1054"/>
      <c r="V700" s="1054"/>
      <c r="W700" s="1054"/>
      <c r="X700" s="1054"/>
      <c r="Y700" s="1054"/>
    </row>
    <row r="701" spans="1:25">
      <c r="A701" s="1053"/>
      <c r="B701" s="1053"/>
      <c r="C701" s="1053"/>
      <c r="D701" s="1053"/>
      <c r="E701" s="1053"/>
      <c r="R701" s="1054"/>
      <c r="S701" s="1054"/>
      <c r="T701" s="1054"/>
      <c r="U701" s="1054"/>
      <c r="V701" s="1054"/>
      <c r="W701" s="1054"/>
      <c r="X701" s="1054"/>
      <c r="Y701" s="1054"/>
    </row>
    <row r="702" spans="1:25">
      <c r="A702" s="1053"/>
      <c r="B702" s="1053"/>
      <c r="C702" s="1053"/>
      <c r="D702" s="1053"/>
      <c r="E702" s="1053"/>
      <c r="R702" s="1054"/>
      <c r="S702" s="1054"/>
      <c r="T702" s="1054"/>
      <c r="U702" s="1054"/>
      <c r="V702" s="1054"/>
      <c r="W702" s="1054"/>
      <c r="X702" s="1054"/>
      <c r="Y702" s="1054"/>
    </row>
    <row r="703" spans="1:25">
      <c r="A703" s="1053"/>
      <c r="B703" s="1053"/>
      <c r="C703" s="1053"/>
      <c r="D703" s="1053"/>
      <c r="E703" s="1053"/>
      <c r="R703" s="1054"/>
      <c r="S703" s="1054"/>
      <c r="T703" s="1054"/>
      <c r="U703" s="1054"/>
      <c r="V703" s="1054"/>
      <c r="W703" s="1054"/>
      <c r="X703" s="1054"/>
      <c r="Y703" s="1054"/>
    </row>
    <row r="704" spans="1:25">
      <c r="A704" s="1053"/>
      <c r="B704" s="1053"/>
      <c r="C704" s="1053"/>
      <c r="D704" s="1053"/>
      <c r="E704" s="1053"/>
      <c r="R704" s="1054"/>
      <c r="S704" s="1054"/>
      <c r="T704" s="1054"/>
      <c r="U704" s="1054"/>
      <c r="V704" s="1054"/>
      <c r="W704" s="1054"/>
      <c r="X704" s="1054"/>
      <c r="Y704" s="1054"/>
    </row>
    <row r="705" spans="1:25">
      <c r="A705" s="1053"/>
      <c r="B705" s="1053"/>
      <c r="C705" s="1053"/>
      <c r="D705" s="1053"/>
      <c r="E705" s="1053"/>
      <c r="R705" s="1054"/>
      <c r="S705" s="1054"/>
      <c r="T705" s="1054"/>
      <c r="U705" s="1054"/>
      <c r="V705" s="1054"/>
      <c r="W705" s="1054"/>
      <c r="X705" s="1054"/>
      <c r="Y705" s="1054"/>
    </row>
    <row r="706" spans="1:25">
      <c r="A706" s="1053"/>
      <c r="B706" s="1053"/>
      <c r="C706" s="1053"/>
      <c r="D706" s="1053"/>
      <c r="E706" s="1053"/>
      <c r="R706" s="1054"/>
      <c r="S706" s="1054"/>
      <c r="T706" s="1054"/>
      <c r="U706" s="1054"/>
      <c r="V706" s="1054"/>
      <c r="W706" s="1054"/>
      <c r="X706" s="1054"/>
      <c r="Y706" s="1054"/>
    </row>
    <row r="707" spans="1:25">
      <c r="A707" s="1053"/>
      <c r="B707" s="1053"/>
      <c r="C707" s="1053"/>
      <c r="D707" s="1053"/>
      <c r="E707" s="1053"/>
      <c r="R707" s="1054"/>
      <c r="S707" s="1054"/>
      <c r="T707" s="1054"/>
      <c r="U707" s="1054"/>
      <c r="V707" s="1054"/>
      <c r="W707" s="1054"/>
      <c r="X707" s="1054"/>
      <c r="Y707" s="1054"/>
    </row>
    <row r="708" spans="1:25">
      <c r="A708" s="1053"/>
      <c r="B708" s="1053"/>
      <c r="C708" s="1053"/>
      <c r="D708" s="1053"/>
      <c r="E708" s="1053"/>
      <c r="R708" s="1054"/>
      <c r="S708" s="1054"/>
      <c r="T708" s="1054"/>
      <c r="U708" s="1054"/>
      <c r="V708" s="1054"/>
      <c r="W708" s="1054"/>
      <c r="X708" s="1054"/>
      <c r="Y708" s="1054"/>
    </row>
    <row r="709" spans="1:25">
      <c r="A709" s="1053"/>
      <c r="B709" s="1053"/>
      <c r="C709" s="1053"/>
      <c r="D709" s="1053"/>
      <c r="E709" s="1053"/>
      <c r="R709" s="1054"/>
      <c r="S709" s="1054"/>
      <c r="T709" s="1054"/>
      <c r="U709" s="1054"/>
      <c r="V709" s="1054"/>
      <c r="W709" s="1054"/>
      <c r="X709" s="1054"/>
      <c r="Y709" s="1054"/>
    </row>
    <row r="710" spans="1:25">
      <c r="A710" s="1053"/>
      <c r="B710" s="1053"/>
      <c r="C710" s="1053"/>
      <c r="D710" s="1053"/>
      <c r="E710" s="1053"/>
      <c r="R710" s="1054"/>
      <c r="S710" s="1054"/>
      <c r="T710" s="1054"/>
      <c r="U710" s="1054"/>
      <c r="V710" s="1054"/>
      <c r="W710" s="1054"/>
      <c r="X710" s="1054"/>
      <c r="Y710" s="1054"/>
    </row>
    <row r="711" spans="1:25">
      <c r="A711" s="1053"/>
      <c r="B711" s="1053"/>
      <c r="C711" s="1053"/>
      <c r="D711" s="1053"/>
      <c r="E711" s="1053"/>
      <c r="R711" s="1054"/>
      <c r="S711" s="1054"/>
      <c r="T711" s="1054"/>
      <c r="U711" s="1054"/>
      <c r="V711" s="1054"/>
      <c r="W711" s="1054"/>
      <c r="X711" s="1054"/>
      <c r="Y711" s="1054"/>
    </row>
    <row r="712" spans="1:25">
      <c r="A712" s="1053"/>
      <c r="B712" s="1053"/>
      <c r="C712" s="1053"/>
      <c r="D712" s="1053"/>
      <c r="E712" s="1053"/>
      <c r="R712" s="1054"/>
      <c r="S712" s="1054"/>
      <c r="T712" s="1054"/>
      <c r="U712" s="1054"/>
      <c r="V712" s="1054"/>
      <c r="W712" s="1054"/>
      <c r="X712" s="1054"/>
      <c r="Y712" s="1054"/>
    </row>
    <row r="713" spans="1:25">
      <c r="A713" s="1053"/>
      <c r="B713" s="1053"/>
      <c r="C713" s="1053"/>
      <c r="D713" s="1053"/>
      <c r="E713" s="1053"/>
      <c r="R713" s="1054"/>
      <c r="S713" s="1054"/>
      <c r="T713" s="1054"/>
      <c r="U713" s="1054"/>
      <c r="V713" s="1054"/>
      <c r="W713" s="1054"/>
      <c r="X713" s="1054"/>
      <c r="Y713" s="1054"/>
    </row>
    <row r="714" spans="1:25">
      <c r="A714" s="1053"/>
      <c r="B714" s="1053"/>
      <c r="C714" s="1053"/>
      <c r="D714" s="1053"/>
      <c r="E714" s="1053"/>
      <c r="R714" s="1054"/>
      <c r="S714" s="1054"/>
      <c r="T714" s="1054"/>
      <c r="U714" s="1054"/>
      <c r="V714" s="1054"/>
      <c r="W714" s="1054"/>
      <c r="X714" s="1054"/>
      <c r="Y714" s="1054"/>
    </row>
    <row r="715" spans="1:25">
      <c r="A715" s="1053"/>
      <c r="B715" s="1053"/>
      <c r="C715" s="1053"/>
      <c r="D715" s="1053"/>
      <c r="E715" s="1053"/>
      <c r="R715" s="1054"/>
      <c r="S715" s="1054"/>
      <c r="T715" s="1054"/>
      <c r="U715" s="1054"/>
      <c r="V715" s="1054"/>
      <c r="W715" s="1054"/>
      <c r="X715" s="1054"/>
      <c r="Y715" s="1054"/>
    </row>
    <row r="716" spans="1:25">
      <c r="A716" s="1053"/>
      <c r="B716" s="1053"/>
      <c r="C716" s="1053"/>
      <c r="D716" s="1053"/>
      <c r="E716" s="1053"/>
      <c r="R716" s="1054"/>
      <c r="S716" s="1054"/>
      <c r="T716" s="1054"/>
      <c r="U716" s="1054"/>
      <c r="V716" s="1054"/>
      <c r="W716" s="1054"/>
      <c r="X716" s="1054"/>
      <c r="Y716" s="1054"/>
    </row>
    <row r="717" spans="1:25">
      <c r="A717" s="1053"/>
      <c r="B717" s="1053"/>
      <c r="C717" s="1053"/>
      <c r="D717" s="1053"/>
      <c r="E717" s="1053"/>
      <c r="R717" s="1054"/>
      <c r="S717" s="1054"/>
      <c r="T717" s="1054"/>
      <c r="U717" s="1054"/>
      <c r="V717" s="1054"/>
      <c r="W717" s="1054"/>
      <c r="X717" s="1054"/>
      <c r="Y717" s="1054"/>
    </row>
    <row r="718" spans="1:25">
      <c r="A718" s="1053"/>
      <c r="B718" s="1053"/>
      <c r="C718" s="1053"/>
      <c r="D718" s="1053"/>
      <c r="E718" s="1053"/>
      <c r="R718" s="1054"/>
      <c r="S718" s="1054"/>
      <c r="T718" s="1054"/>
      <c r="U718" s="1054"/>
      <c r="V718" s="1054"/>
      <c r="W718" s="1054"/>
      <c r="X718" s="1054"/>
      <c r="Y718" s="1054"/>
    </row>
    <row r="719" spans="1:25">
      <c r="A719" s="1053"/>
      <c r="B719" s="1053"/>
      <c r="C719" s="1053"/>
      <c r="D719" s="1053"/>
      <c r="E719" s="1053"/>
      <c r="R719" s="1054"/>
      <c r="S719" s="1054"/>
      <c r="T719" s="1054"/>
      <c r="U719" s="1054"/>
      <c r="V719" s="1054"/>
      <c r="W719" s="1054"/>
      <c r="X719" s="1054"/>
      <c r="Y719" s="1054"/>
    </row>
    <row r="720" spans="1:25">
      <c r="A720" s="1053"/>
      <c r="B720" s="1053"/>
      <c r="C720" s="1053"/>
      <c r="D720" s="1053"/>
      <c r="E720" s="1053"/>
      <c r="R720" s="1054"/>
      <c r="S720" s="1054"/>
      <c r="T720" s="1054"/>
      <c r="U720" s="1054"/>
      <c r="V720" s="1054"/>
      <c r="W720" s="1054"/>
      <c r="X720" s="1054"/>
      <c r="Y720" s="1054"/>
    </row>
    <row r="721" spans="1:25">
      <c r="A721" s="1053"/>
      <c r="B721" s="1053"/>
      <c r="C721" s="1053"/>
      <c r="D721" s="1053"/>
      <c r="E721" s="1053"/>
      <c r="R721" s="1054"/>
      <c r="S721" s="1054"/>
      <c r="T721" s="1054"/>
      <c r="U721" s="1054"/>
      <c r="V721" s="1054"/>
      <c r="W721" s="1054"/>
      <c r="X721" s="1054"/>
      <c r="Y721" s="1054"/>
    </row>
    <row r="722" spans="1:25">
      <c r="A722" s="1053"/>
      <c r="B722" s="1053"/>
      <c r="C722" s="1053"/>
      <c r="D722" s="1053"/>
      <c r="E722" s="1053"/>
      <c r="R722" s="1054"/>
      <c r="S722" s="1054"/>
      <c r="T722" s="1054"/>
      <c r="U722" s="1054"/>
      <c r="V722" s="1054"/>
      <c r="W722" s="1054"/>
      <c r="X722" s="1054"/>
      <c r="Y722" s="1054"/>
    </row>
    <row r="723" spans="1:25">
      <c r="A723" s="1053"/>
      <c r="B723" s="1053"/>
      <c r="C723" s="1053"/>
      <c r="D723" s="1053"/>
      <c r="E723" s="1053"/>
      <c r="R723" s="1054"/>
      <c r="S723" s="1054"/>
      <c r="T723" s="1054"/>
      <c r="U723" s="1054"/>
      <c r="V723" s="1054"/>
      <c r="W723" s="1054"/>
      <c r="X723" s="1054"/>
      <c r="Y723" s="1054"/>
    </row>
    <row r="724" spans="1:25">
      <c r="A724" s="1053"/>
      <c r="B724" s="1053"/>
      <c r="C724" s="1053"/>
      <c r="D724" s="1053"/>
      <c r="E724" s="1053"/>
      <c r="R724" s="1054"/>
      <c r="S724" s="1054"/>
      <c r="T724" s="1054"/>
      <c r="U724" s="1054"/>
      <c r="V724" s="1054"/>
      <c r="W724" s="1054"/>
      <c r="X724" s="1054"/>
      <c r="Y724" s="1054"/>
    </row>
    <row r="725" spans="1:25">
      <c r="A725" s="1053"/>
      <c r="B725" s="1053"/>
      <c r="C725" s="1053"/>
      <c r="D725" s="1053"/>
      <c r="E725" s="1053"/>
      <c r="R725" s="1054"/>
      <c r="S725" s="1054"/>
      <c r="T725" s="1054"/>
      <c r="U725" s="1054"/>
      <c r="V725" s="1054"/>
      <c r="W725" s="1054"/>
      <c r="X725" s="1054"/>
      <c r="Y725" s="1054"/>
    </row>
    <row r="726" spans="1:25">
      <c r="A726" s="1053"/>
      <c r="B726" s="1053"/>
      <c r="C726" s="1053"/>
      <c r="D726" s="1053"/>
      <c r="E726" s="1053"/>
      <c r="R726" s="1054"/>
      <c r="S726" s="1054"/>
      <c r="T726" s="1054"/>
      <c r="U726" s="1054"/>
      <c r="V726" s="1054"/>
      <c r="W726" s="1054"/>
      <c r="X726" s="1054"/>
      <c r="Y726" s="1054"/>
    </row>
    <row r="727" spans="1:25">
      <c r="A727" s="1053"/>
      <c r="B727" s="1053"/>
      <c r="C727" s="1053"/>
      <c r="D727" s="1053"/>
      <c r="E727" s="1053"/>
      <c r="R727" s="1054"/>
      <c r="S727" s="1054"/>
      <c r="T727" s="1054"/>
      <c r="U727" s="1054"/>
      <c r="V727" s="1054"/>
      <c r="W727" s="1054"/>
      <c r="X727" s="1054"/>
      <c r="Y727" s="1054"/>
    </row>
    <row r="728" spans="1:25">
      <c r="A728" s="1053"/>
      <c r="B728" s="1053"/>
      <c r="C728" s="1053"/>
      <c r="D728" s="1053"/>
      <c r="E728" s="1053"/>
      <c r="R728" s="1054"/>
      <c r="S728" s="1054"/>
      <c r="T728" s="1054"/>
      <c r="U728" s="1054"/>
      <c r="V728" s="1054"/>
      <c r="W728" s="1054"/>
      <c r="X728" s="1054"/>
      <c r="Y728" s="1054"/>
    </row>
    <row r="729" spans="1:25">
      <c r="A729" s="1053"/>
      <c r="B729" s="1053"/>
      <c r="C729" s="1053"/>
      <c r="D729" s="1053"/>
      <c r="E729" s="1053"/>
      <c r="R729" s="1054"/>
      <c r="S729" s="1054"/>
      <c r="T729" s="1054"/>
      <c r="U729" s="1054"/>
      <c r="V729" s="1054"/>
      <c r="W729" s="1054"/>
      <c r="X729" s="1054"/>
      <c r="Y729" s="1054"/>
    </row>
    <row r="730" spans="1:25">
      <c r="A730" s="1053"/>
      <c r="B730" s="1053"/>
      <c r="C730" s="1053"/>
      <c r="D730" s="1053"/>
      <c r="E730" s="1053"/>
      <c r="R730" s="1054"/>
      <c r="S730" s="1054"/>
      <c r="T730" s="1054"/>
      <c r="U730" s="1054"/>
      <c r="V730" s="1054"/>
      <c r="W730" s="1054"/>
      <c r="X730" s="1054"/>
      <c r="Y730" s="1054"/>
    </row>
    <row r="731" spans="1:25">
      <c r="A731" s="1053"/>
      <c r="B731" s="1053"/>
      <c r="C731" s="1053"/>
      <c r="D731" s="1053"/>
      <c r="E731" s="1053"/>
      <c r="R731" s="1054"/>
      <c r="S731" s="1054"/>
      <c r="T731" s="1054"/>
      <c r="U731" s="1054"/>
      <c r="V731" s="1054"/>
      <c r="W731" s="1054"/>
      <c r="X731" s="1054"/>
      <c r="Y731" s="1054"/>
    </row>
    <row r="732" spans="1:25">
      <c r="A732" s="1053"/>
      <c r="B732" s="1053"/>
      <c r="C732" s="1053"/>
      <c r="D732" s="1053"/>
      <c r="E732" s="1053"/>
      <c r="R732" s="1054"/>
      <c r="S732" s="1054"/>
      <c r="T732" s="1054"/>
      <c r="U732" s="1054"/>
      <c r="V732" s="1054"/>
      <c r="W732" s="1054"/>
      <c r="X732" s="1054"/>
      <c r="Y732" s="1054"/>
    </row>
    <row r="733" spans="1:25">
      <c r="A733" s="1053"/>
      <c r="B733" s="1053"/>
      <c r="C733" s="1053"/>
      <c r="D733" s="1053"/>
      <c r="E733" s="1053"/>
      <c r="R733" s="1054"/>
      <c r="S733" s="1054"/>
      <c r="T733" s="1054"/>
      <c r="U733" s="1054"/>
      <c r="V733" s="1054"/>
      <c r="W733" s="1054"/>
      <c r="X733" s="1054"/>
      <c r="Y733" s="1054"/>
    </row>
    <row r="734" spans="1:25">
      <c r="A734" s="1053"/>
      <c r="B734" s="1053"/>
      <c r="C734" s="1053"/>
      <c r="D734" s="1053"/>
      <c r="E734" s="1053"/>
      <c r="R734" s="1054"/>
      <c r="S734" s="1054"/>
      <c r="T734" s="1054"/>
      <c r="U734" s="1054"/>
      <c r="V734" s="1054"/>
      <c r="W734" s="1054"/>
      <c r="X734" s="1054"/>
      <c r="Y734" s="1054"/>
    </row>
    <row r="735" spans="1:25">
      <c r="A735" s="1053"/>
      <c r="B735" s="1053"/>
      <c r="C735" s="1053"/>
      <c r="D735" s="1053"/>
      <c r="E735" s="1053"/>
      <c r="R735" s="1054"/>
      <c r="S735" s="1054"/>
      <c r="T735" s="1054"/>
      <c r="U735" s="1054"/>
      <c r="V735" s="1054"/>
      <c r="W735" s="1054"/>
      <c r="X735" s="1054"/>
      <c r="Y735" s="1054"/>
    </row>
    <row r="736" spans="1:25">
      <c r="A736" s="1053"/>
      <c r="B736" s="1053"/>
      <c r="C736" s="1053"/>
      <c r="D736" s="1053"/>
      <c r="E736" s="1053"/>
      <c r="R736" s="1054"/>
      <c r="S736" s="1054"/>
      <c r="T736" s="1054"/>
      <c r="U736" s="1054"/>
      <c r="V736" s="1054"/>
      <c r="W736" s="1054"/>
      <c r="X736" s="1054"/>
      <c r="Y736" s="1054"/>
    </row>
    <row r="737" spans="1:25">
      <c r="A737" s="1053"/>
      <c r="B737" s="1053"/>
      <c r="C737" s="1053"/>
      <c r="D737" s="1053"/>
      <c r="E737" s="1053"/>
      <c r="R737" s="1054"/>
      <c r="S737" s="1054"/>
      <c r="T737" s="1054"/>
      <c r="U737" s="1054"/>
      <c r="V737" s="1054"/>
      <c r="W737" s="1054"/>
      <c r="X737" s="1054"/>
      <c r="Y737" s="1054"/>
    </row>
    <row r="738" spans="1:25">
      <c r="A738" s="1053"/>
      <c r="B738" s="1053"/>
      <c r="C738" s="1053"/>
      <c r="D738" s="1053"/>
      <c r="E738" s="1053"/>
      <c r="R738" s="1054"/>
      <c r="S738" s="1054"/>
      <c r="T738" s="1054"/>
      <c r="U738" s="1054"/>
      <c r="V738" s="1054"/>
      <c r="W738" s="1054"/>
      <c r="X738" s="1054"/>
      <c r="Y738" s="1054"/>
    </row>
    <row r="739" spans="1:25">
      <c r="A739" s="1053"/>
      <c r="B739" s="1053"/>
      <c r="C739" s="1053"/>
      <c r="D739" s="1053"/>
      <c r="E739" s="1053"/>
      <c r="R739" s="1054"/>
      <c r="S739" s="1054"/>
      <c r="T739" s="1054"/>
      <c r="U739" s="1054"/>
      <c r="V739" s="1054"/>
      <c r="W739" s="1054"/>
      <c r="X739" s="1054"/>
      <c r="Y739" s="1054"/>
    </row>
    <row r="740" spans="1:25">
      <c r="A740" s="1053"/>
      <c r="B740" s="1053"/>
      <c r="C740" s="1053"/>
      <c r="D740" s="1053"/>
      <c r="E740" s="1053"/>
      <c r="R740" s="1054"/>
      <c r="S740" s="1054"/>
      <c r="T740" s="1054"/>
      <c r="U740" s="1054"/>
      <c r="V740" s="1054"/>
      <c r="W740" s="1054"/>
      <c r="X740" s="1054"/>
      <c r="Y740" s="1054"/>
    </row>
    <row r="741" spans="1:25">
      <c r="A741" s="1053"/>
      <c r="B741" s="1053"/>
      <c r="C741" s="1053"/>
      <c r="D741" s="1053"/>
      <c r="E741" s="1053"/>
      <c r="R741" s="1054"/>
      <c r="S741" s="1054"/>
      <c r="T741" s="1054"/>
      <c r="U741" s="1054"/>
      <c r="V741" s="1054"/>
      <c r="W741" s="1054"/>
      <c r="X741" s="1054"/>
      <c r="Y741" s="1054"/>
    </row>
    <row r="742" spans="1:25">
      <c r="A742" s="1053"/>
      <c r="B742" s="1053"/>
      <c r="C742" s="1053"/>
      <c r="D742" s="1053"/>
      <c r="E742" s="1053"/>
      <c r="R742" s="1054"/>
      <c r="S742" s="1054"/>
      <c r="T742" s="1054"/>
      <c r="U742" s="1054"/>
      <c r="V742" s="1054"/>
      <c r="W742" s="1054"/>
      <c r="X742" s="1054"/>
      <c r="Y742" s="1054"/>
    </row>
    <row r="743" spans="1:25">
      <c r="A743" s="1053"/>
      <c r="B743" s="1053"/>
      <c r="C743" s="1053"/>
      <c r="D743" s="1053"/>
      <c r="E743" s="1053"/>
      <c r="R743" s="1054"/>
      <c r="S743" s="1054"/>
      <c r="T743" s="1054"/>
      <c r="U743" s="1054"/>
      <c r="V743" s="1054"/>
      <c r="W743" s="1054"/>
      <c r="X743" s="1054"/>
      <c r="Y743" s="1054"/>
    </row>
    <row r="744" spans="1:25">
      <c r="A744" s="1053"/>
      <c r="B744" s="1053"/>
      <c r="C744" s="1053"/>
      <c r="D744" s="1053"/>
      <c r="E744" s="1053"/>
      <c r="R744" s="1054"/>
      <c r="S744" s="1054"/>
      <c r="T744" s="1054"/>
      <c r="U744" s="1054"/>
      <c r="V744" s="1054"/>
      <c r="W744" s="1054"/>
      <c r="X744" s="1054"/>
      <c r="Y744" s="1054"/>
    </row>
    <row r="745" spans="1:25">
      <c r="A745" s="1053"/>
      <c r="B745" s="1053"/>
      <c r="C745" s="1053"/>
      <c r="D745" s="1053"/>
      <c r="E745" s="1053"/>
      <c r="R745" s="1054"/>
      <c r="S745" s="1054"/>
      <c r="T745" s="1054"/>
      <c r="U745" s="1054"/>
      <c r="V745" s="1054"/>
      <c r="W745" s="1054"/>
      <c r="X745" s="1054"/>
      <c r="Y745" s="1054"/>
    </row>
    <row r="746" spans="1:25">
      <c r="A746" s="1053"/>
      <c r="B746" s="1053"/>
      <c r="C746" s="1053"/>
      <c r="D746" s="1053"/>
      <c r="E746" s="1053"/>
      <c r="R746" s="1054"/>
      <c r="S746" s="1054"/>
      <c r="T746" s="1054"/>
      <c r="U746" s="1054"/>
      <c r="V746" s="1054"/>
      <c r="W746" s="1054"/>
      <c r="X746" s="1054"/>
      <c r="Y746" s="1054"/>
    </row>
    <row r="747" spans="1:25">
      <c r="A747" s="1053"/>
      <c r="B747" s="1053"/>
      <c r="C747" s="1053"/>
      <c r="D747" s="1053"/>
      <c r="E747" s="1053"/>
      <c r="R747" s="1054"/>
      <c r="S747" s="1054"/>
      <c r="T747" s="1054"/>
      <c r="U747" s="1054"/>
      <c r="V747" s="1054"/>
      <c r="W747" s="1054"/>
      <c r="X747" s="1054"/>
      <c r="Y747" s="1054"/>
    </row>
    <row r="748" spans="1:25">
      <c r="A748" s="1053"/>
      <c r="B748" s="1053"/>
      <c r="C748" s="1053"/>
      <c r="D748" s="1053"/>
      <c r="E748" s="1053"/>
      <c r="R748" s="1054"/>
      <c r="S748" s="1054"/>
      <c r="T748" s="1054"/>
      <c r="U748" s="1054"/>
      <c r="V748" s="1054"/>
      <c r="W748" s="1054"/>
      <c r="X748" s="1054"/>
      <c r="Y748" s="1054"/>
    </row>
    <row r="749" spans="1:25">
      <c r="A749" s="1053"/>
      <c r="B749" s="1053"/>
      <c r="C749" s="1053"/>
      <c r="D749" s="1053"/>
      <c r="E749" s="1053"/>
      <c r="R749" s="1054"/>
      <c r="S749" s="1054"/>
      <c r="T749" s="1054"/>
      <c r="U749" s="1054"/>
      <c r="V749" s="1054"/>
      <c r="W749" s="1054"/>
      <c r="X749" s="1054"/>
      <c r="Y749" s="1054"/>
    </row>
    <row r="750" spans="1:25">
      <c r="A750" s="1053"/>
      <c r="B750" s="1053"/>
      <c r="C750" s="1053"/>
      <c r="D750" s="1053"/>
      <c r="E750" s="1053"/>
      <c r="R750" s="1054"/>
      <c r="S750" s="1054"/>
      <c r="T750" s="1054"/>
      <c r="U750" s="1054"/>
      <c r="V750" s="1054"/>
      <c r="W750" s="1054"/>
      <c r="X750" s="1054"/>
      <c r="Y750" s="1054"/>
    </row>
    <row r="751" spans="1:25">
      <c r="A751" s="1053"/>
      <c r="B751" s="1053"/>
      <c r="C751" s="1053"/>
      <c r="D751" s="1053"/>
      <c r="E751" s="1053"/>
      <c r="R751" s="1054"/>
      <c r="S751" s="1054"/>
      <c r="T751" s="1054"/>
      <c r="U751" s="1054"/>
      <c r="V751" s="1054"/>
      <c r="W751" s="1054"/>
      <c r="X751" s="1054"/>
      <c r="Y751" s="1054"/>
    </row>
    <row r="752" spans="1:25">
      <c r="A752" s="1053"/>
      <c r="B752" s="1053"/>
      <c r="C752" s="1053"/>
      <c r="D752" s="1053"/>
      <c r="E752" s="1053"/>
      <c r="R752" s="1054"/>
      <c r="S752" s="1054"/>
      <c r="T752" s="1054"/>
      <c r="U752" s="1054"/>
      <c r="V752" s="1054"/>
      <c r="W752" s="1054"/>
      <c r="X752" s="1054"/>
      <c r="Y752" s="1054"/>
    </row>
    <row r="753" spans="1:25">
      <c r="A753" s="1053"/>
      <c r="B753" s="1053"/>
      <c r="C753" s="1053"/>
      <c r="D753" s="1053"/>
      <c r="E753" s="1053"/>
      <c r="R753" s="1054"/>
      <c r="S753" s="1054"/>
      <c r="T753" s="1054"/>
      <c r="U753" s="1054"/>
      <c r="V753" s="1054"/>
      <c r="W753" s="1054"/>
      <c r="X753" s="1054"/>
      <c r="Y753" s="1054"/>
    </row>
    <row r="754" spans="1:25">
      <c r="A754" s="1053"/>
      <c r="B754" s="1053"/>
      <c r="C754" s="1053"/>
      <c r="D754" s="1053"/>
      <c r="E754" s="1053"/>
      <c r="R754" s="1054"/>
      <c r="S754" s="1054"/>
      <c r="T754" s="1054"/>
      <c r="U754" s="1054"/>
      <c r="V754" s="1054"/>
      <c r="W754" s="1054"/>
      <c r="X754" s="1054"/>
      <c r="Y754" s="1054"/>
    </row>
    <row r="755" spans="1:25">
      <c r="A755" s="1053"/>
      <c r="B755" s="1053"/>
      <c r="C755" s="1053"/>
      <c r="D755" s="1053"/>
      <c r="E755" s="1053"/>
      <c r="R755" s="1054"/>
      <c r="S755" s="1054"/>
      <c r="T755" s="1054"/>
      <c r="U755" s="1054"/>
      <c r="V755" s="1054"/>
      <c r="W755" s="1054"/>
      <c r="X755" s="1054"/>
      <c r="Y755" s="1054"/>
    </row>
    <row r="756" spans="1:25">
      <c r="A756" s="1053"/>
      <c r="B756" s="1053"/>
      <c r="C756" s="1053"/>
      <c r="D756" s="1053"/>
      <c r="E756" s="1053"/>
      <c r="R756" s="1054"/>
      <c r="S756" s="1054"/>
      <c r="T756" s="1054"/>
      <c r="U756" s="1054"/>
      <c r="V756" s="1054"/>
      <c r="W756" s="1054"/>
      <c r="X756" s="1054"/>
      <c r="Y756" s="1054"/>
    </row>
    <row r="757" spans="1:25">
      <c r="A757" s="1053"/>
      <c r="B757" s="1053"/>
      <c r="C757" s="1053"/>
      <c r="D757" s="1053"/>
      <c r="E757" s="1053"/>
      <c r="R757" s="1054"/>
      <c r="S757" s="1054"/>
      <c r="T757" s="1054"/>
      <c r="U757" s="1054"/>
      <c r="V757" s="1054"/>
      <c r="W757" s="1054"/>
      <c r="X757" s="1054"/>
      <c r="Y757" s="1054"/>
    </row>
    <row r="758" spans="1:25">
      <c r="A758" s="1053"/>
      <c r="B758" s="1053"/>
      <c r="C758" s="1053"/>
      <c r="D758" s="1053"/>
      <c r="E758" s="1053"/>
      <c r="R758" s="1054"/>
      <c r="S758" s="1054"/>
      <c r="T758" s="1054"/>
      <c r="U758" s="1054"/>
      <c r="V758" s="1054"/>
      <c r="W758" s="1054"/>
      <c r="X758" s="1054"/>
      <c r="Y758" s="1054"/>
    </row>
    <row r="759" spans="1:25">
      <c r="A759" s="1053"/>
      <c r="B759" s="1053"/>
      <c r="C759" s="1053"/>
      <c r="D759" s="1053"/>
      <c r="E759" s="1053"/>
      <c r="R759" s="1054"/>
      <c r="S759" s="1054"/>
      <c r="T759" s="1054"/>
      <c r="U759" s="1054"/>
      <c r="V759" s="1054"/>
      <c r="W759" s="1054"/>
      <c r="X759" s="1054"/>
      <c r="Y759" s="1054"/>
    </row>
    <row r="760" spans="1:25">
      <c r="A760" s="1053"/>
      <c r="B760" s="1053"/>
      <c r="C760" s="1053"/>
      <c r="D760" s="1053"/>
      <c r="E760" s="1053"/>
      <c r="R760" s="1054"/>
      <c r="S760" s="1054"/>
      <c r="T760" s="1054"/>
      <c r="U760" s="1054"/>
      <c r="V760" s="1054"/>
      <c r="W760" s="1054"/>
      <c r="X760" s="1054"/>
      <c r="Y760" s="1054"/>
    </row>
    <row r="761" spans="1:25">
      <c r="A761" s="1053"/>
      <c r="B761" s="1053"/>
      <c r="C761" s="1053"/>
      <c r="D761" s="1053"/>
      <c r="E761" s="1053"/>
      <c r="R761" s="1054"/>
      <c r="S761" s="1054"/>
      <c r="T761" s="1054"/>
      <c r="U761" s="1054"/>
      <c r="V761" s="1054"/>
      <c r="W761" s="1054"/>
      <c r="X761" s="1054"/>
      <c r="Y761" s="1054"/>
    </row>
    <row r="762" spans="1:25">
      <c r="A762" s="1053"/>
      <c r="B762" s="1053"/>
      <c r="C762" s="1053"/>
      <c r="D762" s="1053"/>
      <c r="E762" s="1053"/>
      <c r="R762" s="1054"/>
      <c r="S762" s="1054"/>
      <c r="T762" s="1054"/>
      <c r="U762" s="1054"/>
      <c r="V762" s="1054"/>
      <c r="W762" s="1054"/>
      <c r="X762" s="1054"/>
      <c r="Y762" s="1054"/>
    </row>
    <row r="763" spans="1:25">
      <c r="A763" s="1053"/>
      <c r="B763" s="1053"/>
      <c r="C763" s="1053"/>
      <c r="D763" s="1053"/>
      <c r="E763" s="1053"/>
      <c r="R763" s="1054"/>
      <c r="S763" s="1054"/>
      <c r="T763" s="1054"/>
      <c r="U763" s="1054"/>
      <c r="V763" s="1054"/>
      <c r="W763" s="1054"/>
      <c r="X763" s="1054"/>
      <c r="Y763" s="1054"/>
    </row>
    <row r="764" spans="1:25">
      <c r="A764" s="1053"/>
      <c r="B764" s="1053"/>
      <c r="C764" s="1053"/>
      <c r="D764" s="1053"/>
      <c r="E764" s="1053"/>
      <c r="R764" s="1054"/>
      <c r="S764" s="1054"/>
      <c r="T764" s="1054"/>
      <c r="U764" s="1054"/>
      <c r="V764" s="1054"/>
      <c r="W764" s="1054"/>
      <c r="X764" s="1054"/>
      <c r="Y764" s="1054"/>
    </row>
    <row r="765" spans="1:25">
      <c r="A765" s="1053"/>
      <c r="B765" s="1053"/>
      <c r="C765" s="1053"/>
      <c r="D765" s="1053"/>
      <c r="E765" s="1053"/>
      <c r="R765" s="1054"/>
      <c r="S765" s="1054"/>
      <c r="T765" s="1054"/>
      <c r="U765" s="1054"/>
      <c r="V765" s="1054"/>
      <c r="W765" s="1054"/>
      <c r="X765" s="1054"/>
      <c r="Y765" s="1054"/>
    </row>
    <row r="766" spans="1:25">
      <c r="A766" s="1053"/>
      <c r="B766" s="1053"/>
      <c r="C766" s="1053"/>
      <c r="D766" s="1053"/>
      <c r="E766" s="1053"/>
      <c r="R766" s="1054"/>
      <c r="S766" s="1054"/>
      <c r="T766" s="1054"/>
      <c r="U766" s="1054"/>
      <c r="V766" s="1054"/>
      <c r="W766" s="1054"/>
      <c r="X766" s="1054"/>
      <c r="Y766" s="1054"/>
    </row>
    <row r="767" spans="1:25">
      <c r="A767" s="1053"/>
      <c r="B767" s="1053"/>
      <c r="C767" s="1053"/>
      <c r="D767" s="1053"/>
      <c r="E767" s="1053"/>
      <c r="R767" s="1054"/>
      <c r="S767" s="1054"/>
      <c r="T767" s="1054"/>
      <c r="U767" s="1054"/>
      <c r="V767" s="1054"/>
      <c r="W767" s="1054"/>
      <c r="X767" s="1054"/>
      <c r="Y767" s="1054"/>
    </row>
    <row r="768" spans="1:25">
      <c r="A768" s="1053"/>
      <c r="B768" s="1053"/>
      <c r="C768" s="1053"/>
      <c r="D768" s="1053"/>
      <c r="E768" s="1053"/>
      <c r="R768" s="1054"/>
      <c r="S768" s="1054"/>
      <c r="T768" s="1054"/>
      <c r="U768" s="1054"/>
      <c r="V768" s="1054"/>
      <c r="W768" s="1054"/>
      <c r="X768" s="1054"/>
      <c r="Y768" s="1054"/>
    </row>
    <row r="769" spans="1:25">
      <c r="A769" s="1053"/>
      <c r="B769" s="1053"/>
      <c r="C769" s="1053"/>
      <c r="D769" s="1053"/>
      <c r="E769" s="1053"/>
      <c r="R769" s="1054"/>
      <c r="S769" s="1054"/>
      <c r="T769" s="1054"/>
      <c r="U769" s="1054"/>
      <c r="V769" s="1054"/>
      <c r="W769" s="1054"/>
      <c r="X769" s="1054"/>
      <c r="Y769" s="1054"/>
    </row>
    <row r="770" spans="1:25">
      <c r="A770" s="1053"/>
      <c r="B770" s="1053"/>
      <c r="C770" s="1053"/>
      <c r="D770" s="1053"/>
      <c r="E770" s="1053"/>
      <c r="R770" s="1054"/>
      <c r="S770" s="1054"/>
      <c r="T770" s="1054"/>
      <c r="U770" s="1054"/>
      <c r="V770" s="1054"/>
      <c r="W770" s="1054"/>
      <c r="X770" s="1054"/>
      <c r="Y770" s="1054"/>
    </row>
    <row r="771" spans="1:25">
      <c r="A771" s="1053"/>
      <c r="B771" s="1053"/>
      <c r="C771" s="1053"/>
      <c r="D771" s="1053"/>
      <c r="E771" s="1053"/>
      <c r="R771" s="1054"/>
      <c r="S771" s="1054"/>
      <c r="T771" s="1054"/>
      <c r="U771" s="1054"/>
      <c r="V771" s="1054"/>
      <c r="W771" s="1054"/>
      <c r="X771" s="1054"/>
      <c r="Y771" s="1054"/>
    </row>
    <row r="772" spans="1:25">
      <c r="A772" s="1053"/>
      <c r="B772" s="1053"/>
      <c r="C772" s="1053"/>
      <c r="D772" s="1053"/>
      <c r="E772" s="1053"/>
      <c r="R772" s="1054"/>
      <c r="S772" s="1054"/>
      <c r="T772" s="1054"/>
      <c r="U772" s="1054"/>
      <c r="V772" s="1054"/>
      <c r="W772" s="1054"/>
      <c r="X772" s="1054"/>
      <c r="Y772" s="1054"/>
    </row>
    <row r="773" spans="1:25">
      <c r="A773" s="1053"/>
      <c r="B773" s="1053"/>
      <c r="C773" s="1053"/>
      <c r="D773" s="1053"/>
      <c r="E773" s="1053"/>
      <c r="R773" s="1054"/>
      <c r="S773" s="1054"/>
      <c r="T773" s="1054"/>
      <c r="U773" s="1054"/>
      <c r="V773" s="1054"/>
      <c r="W773" s="1054"/>
      <c r="X773" s="1054"/>
      <c r="Y773" s="1054"/>
    </row>
    <row r="774" spans="1:25">
      <c r="A774" s="1053"/>
      <c r="B774" s="1053"/>
      <c r="C774" s="1053"/>
      <c r="D774" s="1053"/>
      <c r="E774" s="1053"/>
      <c r="R774" s="1054"/>
      <c r="S774" s="1054"/>
      <c r="T774" s="1054"/>
      <c r="U774" s="1054"/>
      <c r="V774" s="1054"/>
      <c r="W774" s="1054"/>
      <c r="X774" s="1054"/>
      <c r="Y774" s="1054"/>
    </row>
    <row r="775" spans="1:25">
      <c r="A775" s="1053"/>
      <c r="B775" s="1053"/>
      <c r="C775" s="1053"/>
      <c r="D775" s="1053"/>
      <c r="E775" s="1053"/>
      <c r="R775" s="1054"/>
      <c r="S775" s="1054"/>
      <c r="T775" s="1054"/>
      <c r="U775" s="1054"/>
      <c r="V775" s="1054"/>
      <c r="W775" s="1054"/>
      <c r="X775" s="1054"/>
      <c r="Y775" s="1054"/>
    </row>
    <row r="776" spans="1:25">
      <c r="A776" s="1053"/>
      <c r="B776" s="1053"/>
      <c r="C776" s="1053"/>
      <c r="D776" s="1053"/>
      <c r="E776" s="1053"/>
      <c r="R776" s="1054"/>
      <c r="S776" s="1054"/>
      <c r="T776" s="1054"/>
      <c r="U776" s="1054"/>
      <c r="V776" s="1054"/>
      <c r="W776" s="1054"/>
      <c r="X776" s="1054"/>
      <c r="Y776" s="1054"/>
    </row>
    <row r="777" spans="1:25">
      <c r="A777" s="1053"/>
      <c r="B777" s="1053"/>
      <c r="C777" s="1053"/>
      <c r="D777" s="1053"/>
      <c r="E777" s="1053"/>
      <c r="R777" s="1054"/>
      <c r="S777" s="1054"/>
      <c r="T777" s="1054"/>
      <c r="U777" s="1054"/>
      <c r="V777" s="1054"/>
      <c r="W777" s="1054"/>
      <c r="X777" s="1054"/>
      <c r="Y777" s="1054"/>
    </row>
    <row r="778" spans="1:25">
      <c r="A778" s="1053"/>
      <c r="B778" s="1053"/>
      <c r="C778" s="1053"/>
      <c r="D778" s="1053"/>
      <c r="E778" s="1053"/>
      <c r="R778" s="1054"/>
      <c r="S778" s="1054"/>
      <c r="T778" s="1054"/>
      <c r="U778" s="1054"/>
      <c r="V778" s="1054"/>
      <c r="W778" s="1054"/>
      <c r="X778" s="1054"/>
      <c r="Y778" s="1054"/>
    </row>
    <row r="779" spans="1:25">
      <c r="A779" s="1053"/>
      <c r="B779" s="1053"/>
      <c r="C779" s="1053"/>
      <c r="D779" s="1053"/>
      <c r="E779" s="1053"/>
      <c r="R779" s="1054"/>
      <c r="S779" s="1054"/>
      <c r="T779" s="1054"/>
      <c r="U779" s="1054"/>
      <c r="V779" s="1054"/>
      <c r="W779" s="1054"/>
      <c r="X779" s="1054"/>
      <c r="Y779" s="1054"/>
    </row>
    <row r="780" spans="1:25">
      <c r="A780" s="1053"/>
      <c r="B780" s="1053"/>
      <c r="C780" s="1053"/>
      <c r="D780" s="1053"/>
      <c r="E780" s="1053"/>
      <c r="R780" s="1054"/>
      <c r="S780" s="1054"/>
      <c r="T780" s="1054"/>
      <c r="U780" s="1054"/>
      <c r="V780" s="1054"/>
      <c r="W780" s="1054"/>
      <c r="X780" s="1054"/>
      <c r="Y780" s="1054"/>
    </row>
    <row r="781" spans="1:25">
      <c r="A781" s="1053"/>
      <c r="B781" s="1053"/>
      <c r="C781" s="1053"/>
      <c r="D781" s="1053"/>
      <c r="E781" s="1053"/>
      <c r="R781" s="1054"/>
      <c r="S781" s="1054"/>
      <c r="T781" s="1054"/>
      <c r="U781" s="1054"/>
      <c r="V781" s="1054"/>
      <c r="W781" s="1054"/>
      <c r="X781" s="1054"/>
      <c r="Y781" s="1054"/>
    </row>
    <row r="782" spans="1:25">
      <c r="A782" s="1053"/>
      <c r="B782" s="1053"/>
      <c r="C782" s="1053"/>
      <c r="D782" s="1053"/>
      <c r="E782" s="1053"/>
      <c r="R782" s="1054"/>
      <c r="S782" s="1054"/>
      <c r="T782" s="1054"/>
      <c r="U782" s="1054"/>
      <c r="V782" s="1054"/>
      <c r="W782" s="1054"/>
      <c r="X782" s="1054"/>
      <c r="Y782" s="1054"/>
    </row>
    <row r="783" spans="1:25">
      <c r="A783" s="1053"/>
      <c r="B783" s="1053"/>
      <c r="C783" s="1053"/>
      <c r="D783" s="1053"/>
      <c r="E783" s="1053"/>
      <c r="R783" s="1054"/>
      <c r="S783" s="1054"/>
      <c r="T783" s="1054"/>
      <c r="U783" s="1054"/>
      <c r="V783" s="1054"/>
      <c r="W783" s="1054"/>
      <c r="X783" s="1054"/>
      <c r="Y783" s="1054"/>
    </row>
    <row r="784" spans="1:25">
      <c r="A784" s="1053"/>
      <c r="B784" s="1053"/>
      <c r="C784" s="1053"/>
      <c r="D784" s="1053"/>
      <c r="E784" s="1053"/>
      <c r="R784" s="1054"/>
      <c r="S784" s="1054"/>
      <c r="T784" s="1054"/>
      <c r="U784" s="1054"/>
      <c r="V784" s="1054"/>
      <c r="W784" s="1054"/>
      <c r="X784" s="1054"/>
      <c r="Y784" s="1054"/>
    </row>
    <row r="785" spans="1:25">
      <c r="A785" s="1053"/>
      <c r="B785" s="1053"/>
      <c r="C785" s="1053"/>
      <c r="D785" s="1053"/>
      <c r="E785" s="1053"/>
      <c r="R785" s="1054"/>
      <c r="S785" s="1054"/>
      <c r="T785" s="1054"/>
      <c r="U785" s="1054"/>
      <c r="V785" s="1054"/>
      <c r="W785" s="1054"/>
      <c r="X785" s="1054"/>
      <c r="Y785" s="1054"/>
    </row>
    <row r="786" spans="1:25">
      <c r="A786" s="1053"/>
      <c r="B786" s="1053"/>
      <c r="C786" s="1053"/>
      <c r="D786" s="1053"/>
      <c r="E786" s="1053"/>
      <c r="R786" s="1054"/>
      <c r="S786" s="1054"/>
      <c r="T786" s="1054"/>
      <c r="U786" s="1054"/>
      <c r="V786" s="1054"/>
      <c r="W786" s="1054"/>
      <c r="X786" s="1054"/>
      <c r="Y786" s="1054"/>
    </row>
    <row r="787" spans="1:25">
      <c r="A787" s="1053"/>
      <c r="B787" s="1053"/>
      <c r="C787" s="1053"/>
      <c r="D787" s="1053"/>
      <c r="E787" s="1053"/>
      <c r="R787" s="1054"/>
      <c r="S787" s="1054"/>
      <c r="T787" s="1054"/>
      <c r="U787" s="1054"/>
      <c r="V787" s="1054"/>
      <c r="W787" s="1054"/>
      <c r="X787" s="1054"/>
      <c r="Y787" s="1054"/>
    </row>
    <row r="788" spans="1:25">
      <c r="A788" s="1053"/>
      <c r="B788" s="1053"/>
      <c r="C788" s="1053"/>
      <c r="D788" s="1053"/>
      <c r="E788" s="1053"/>
      <c r="R788" s="1054"/>
      <c r="S788" s="1054"/>
      <c r="T788" s="1054"/>
      <c r="U788" s="1054"/>
      <c r="V788" s="1054"/>
      <c r="W788" s="1054"/>
      <c r="X788" s="1054"/>
      <c r="Y788" s="1054"/>
    </row>
    <row r="789" spans="1:25">
      <c r="A789" s="1053"/>
      <c r="B789" s="1053"/>
      <c r="C789" s="1053"/>
      <c r="D789" s="1053"/>
      <c r="E789" s="1053"/>
      <c r="R789" s="1054"/>
      <c r="S789" s="1054"/>
      <c r="T789" s="1054"/>
      <c r="U789" s="1054"/>
      <c r="V789" s="1054"/>
      <c r="W789" s="1054"/>
      <c r="X789" s="1054"/>
      <c r="Y789" s="1054"/>
    </row>
    <row r="790" spans="1:25">
      <c r="A790" s="1053"/>
      <c r="B790" s="1053"/>
      <c r="C790" s="1053"/>
      <c r="D790" s="1053"/>
      <c r="E790" s="1053"/>
      <c r="R790" s="1054"/>
      <c r="S790" s="1054"/>
      <c r="T790" s="1054"/>
      <c r="U790" s="1054"/>
      <c r="V790" s="1054"/>
      <c r="W790" s="1054"/>
      <c r="X790" s="1054"/>
      <c r="Y790" s="1054"/>
    </row>
    <row r="791" spans="1:25">
      <c r="A791" s="1053"/>
      <c r="B791" s="1053"/>
      <c r="C791" s="1053"/>
      <c r="D791" s="1053"/>
      <c r="E791" s="1053"/>
      <c r="R791" s="1054"/>
      <c r="S791" s="1054"/>
      <c r="T791" s="1054"/>
      <c r="U791" s="1054"/>
      <c r="V791" s="1054"/>
      <c r="W791" s="1054"/>
      <c r="X791" s="1054"/>
      <c r="Y791" s="1054"/>
    </row>
    <row r="792" spans="1:25">
      <c r="A792" s="1053"/>
      <c r="B792" s="1053"/>
      <c r="C792" s="1053"/>
      <c r="D792" s="1053"/>
      <c r="E792" s="1053"/>
      <c r="R792" s="1054"/>
      <c r="S792" s="1054"/>
      <c r="T792" s="1054"/>
      <c r="U792" s="1054"/>
      <c r="V792" s="1054"/>
      <c r="W792" s="1054"/>
      <c r="X792" s="1054"/>
      <c r="Y792" s="1054"/>
    </row>
    <row r="793" spans="1:25">
      <c r="A793" s="1053"/>
      <c r="B793" s="1053"/>
      <c r="C793" s="1053"/>
      <c r="D793" s="1053"/>
      <c r="E793" s="1053"/>
      <c r="R793" s="1054"/>
      <c r="S793" s="1054"/>
      <c r="T793" s="1054"/>
      <c r="U793" s="1054"/>
      <c r="V793" s="1054"/>
      <c r="W793" s="1054"/>
      <c r="X793" s="1054"/>
      <c r="Y793" s="1054"/>
    </row>
    <row r="794" spans="1:25">
      <c r="A794" s="1053"/>
      <c r="B794" s="1053"/>
      <c r="C794" s="1053"/>
      <c r="D794" s="1053"/>
      <c r="E794" s="1053"/>
      <c r="R794" s="1054"/>
      <c r="S794" s="1054"/>
      <c r="T794" s="1054"/>
      <c r="U794" s="1054"/>
      <c r="V794" s="1054"/>
      <c r="W794" s="1054"/>
      <c r="X794" s="1054"/>
      <c r="Y794" s="1054"/>
    </row>
    <row r="795" spans="1:25">
      <c r="A795" s="1053"/>
      <c r="B795" s="1053"/>
      <c r="C795" s="1053"/>
      <c r="D795" s="1053"/>
      <c r="E795" s="1053"/>
      <c r="R795" s="1054"/>
      <c r="S795" s="1054"/>
      <c r="T795" s="1054"/>
      <c r="U795" s="1054"/>
      <c r="V795" s="1054"/>
      <c r="W795" s="1054"/>
      <c r="X795" s="1054"/>
      <c r="Y795" s="1054"/>
    </row>
    <row r="796" spans="1:25">
      <c r="A796" s="1053"/>
      <c r="B796" s="1053"/>
      <c r="C796" s="1053"/>
      <c r="D796" s="1053"/>
      <c r="E796" s="1053"/>
      <c r="R796" s="1054"/>
      <c r="S796" s="1054"/>
      <c r="T796" s="1054"/>
      <c r="U796" s="1054"/>
      <c r="V796" s="1054"/>
      <c r="W796" s="1054"/>
      <c r="X796" s="1054"/>
      <c r="Y796" s="1054"/>
    </row>
    <row r="797" spans="1:25">
      <c r="A797" s="1053"/>
      <c r="B797" s="1053"/>
      <c r="C797" s="1053"/>
      <c r="D797" s="1053"/>
      <c r="E797" s="1053"/>
      <c r="R797" s="1054"/>
      <c r="S797" s="1054"/>
      <c r="T797" s="1054"/>
      <c r="U797" s="1054"/>
      <c r="V797" s="1054"/>
      <c r="W797" s="1054"/>
      <c r="X797" s="1054"/>
      <c r="Y797" s="1054"/>
    </row>
    <row r="798" spans="1:25">
      <c r="A798" s="1053"/>
      <c r="B798" s="1053"/>
      <c r="C798" s="1053"/>
      <c r="D798" s="1053"/>
      <c r="E798" s="1053"/>
      <c r="R798" s="1054"/>
      <c r="S798" s="1054"/>
      <c r="T798" s="1054"/>
      <c r="U798" s="1054"/>
      <c r="V798" s="1054"/>
      <c r="W798" s="1054"/>
      <c r="X798" s="1054"/>
      <c r="Y798" s="1054"/>
    </row>
    <row r="799" spans="1:25">
      <c r="A799" s="1053"/>
      <c r="B799" s="1053"/>
      <c r="C799" s="1053"/>
      <c r="D799" s="1053"/>
      <c r="E799" s="1053"/>
      <c r="R799" s="1054"/>
      <c r="S799" s="1054"/>
      <c r="T799" s="1054"/>
      <c r="U799" s="1054"/>
      <c r="V799" s="1054"/>
      <c r="W799" s="1054"/>
      <c r="X799" s="1054"/>
      <c r="Y799" s="1054"/>
    </row>
    <row r="800" spans="1:25">
      <c r="A800" s="1053"/>
      <c r="B800" s="1053"/>
      <c r="C800" s="1053"/>
      <c r="D800" s="1053"/>
      <c r="E800" s="1053"/>
      <c r="R800" s="1054"/>
      <c r="S800" s="1054"/>
      <c r="T800" s="1054"/>
      <c r="U800" s="1054"/>
      <c r="V800" s="1054"/>
      <c r="W800" s="1054"/>
      <c r="X800" s="1054"/>
      <c r="Y800" s="1054"/>
    </row>
    <row r="801" spans="1:25">
      <c r="A801" s="1053"/>
      <c r="B801" s="1053"/>
      <c r="C801" s="1053"/>
      <c r="D801" s="1053"/>
      <c r="E801" s="1053"/>
      <c r="R801" s="1054"/>
      <c r="S801" s="1054"/>
      <c r="T801" s="1054"/>
      <c r="U801" s="1054"/>
      <c r="V801" s="1054"/>
      <c r="W801" s="1054"/>
      <c r="X801" s="1054"/>
      <c r="Y801" s="1054"/>
    </row>
    <row r="802" spans="1:25">
      <c r="A802" s="1053"/>
      <c r="B802" s="1053"/>
      <c r="C802" s="1053"/>
      <c r="D802" s="1053"/>
      <c r="E802" s="1053"/>
      <c r="R802" s="1054"/>
      <c r="S802" s="1054"/>
      <c r="T802" s="1054"/>
      <c r="U802" s="1054"/>
      <c r="V802" s="1054"/>
      <c r="W802" s="1054"/>
      <c r="X802" s="1054"/>
      <c r="Y802" s="1054"/>
    </row>
    <row r="803" spans="1:25">
      <c r="A803" s="1053"/>
      <c r="B803" s="1053"/>
      <c r="C803" s="1053"/>
      <c r="D803" s="1053"/>
      <c r="E803" s="1053"/>
      <c r="R803" s="1054"/>
      <c r="S803" s="1054"/>
      <c r="T803" s="1054"/>
      <c r="U803" s="1054"/>
      <c r="V803" s="1054"/>
      <c r="W803" s="1054"/>
      <c r="X803" s="1054"/>
      <c r="Y803" s="1054"/>
    </row>
    <row r="804" spans="1:25">
      <c r="A804" s="1053"/>
      <c r="B804" s="1053"/>
      <c r="C804" s="1053"/>
      <c r="D804" s="1053"/>
      <c r="E804" s="1053"/>
      <c r="R804" s="1054"/>
      <c r="S804" s="1054"/>
      <c r="T804" s="1054"/>
      <c r="U804" s="1054"/>
      <c r="V804" s="1054"/>
      <c r="W804" s="1054"/>
      <c r="X804" s="1054"/>
      <c r="Y804" s="1054"/>
    </row>
    <row r="805" spans="1:25">
      <c r="A805" s="1053"/>
      <c r="B805" s="1053"/>
      <c r="C805" s="1053"/>
      <c r="D805" s="1053"/>
      <c r="E805" s="1053"/>
      <c r="R805" s="1054"/>
      <c r="S805" s="1054"/>
      <c r="T805" s="1054"/>
      <c r="U805" s="1054"/>
      <c r="V805" s="1054"/>
      <c r="W805" s="1054"/>
      <c r="X805" s="1054"/>
      <c r="Y805" s="1054"/>
    </row>
    <row r="806" spans="1:25">
      <c r="A806" s="1053"/>
      <c r="B806" s="1053"/>
      <c r="C806" s="1053"/>
      <c r="D806" s="1053"/>
      <c r="E806" s="1053"/>
      <c r="R806" s="1054"/>
      <c r="S806" s="1054"/>
      <c r="T806" s="1054"/>
      <c r="U806" s="1054"/>
      <c r="V806" s="1054"/>
      <c r="W806" s="1054"/>
      <c r="X806" s="1054"/>
      <c r="Y806" s="1054"/>
    </row>
    <row r="807" spans="1:25">
      <c r="A807" s="1053"/>
      <c r="B807" s="1053"/>
      <c r="C807" s="1053"/>
      <c r="D807" s="1053"/>
      <c r="E807" s="1053"/>
      <c r="R807" s="1054"/>
      <c r="S807" s="1054"/>
      <c r="T807" s="1054"/>
      <c r="U807" s="1054"/>
      <c r="V807" s="1054"/>
      <c r="W807" s="1054"/>
      <c r="X807" s="1054"/>
      <c r="Y807" s="1054"/>
    </row>
    <row r="808" spans="1:25">
      <c r="A808" s="1053"/>
      <c r="B808" s="1053"/>
      <c r="C808" s="1053"/>
      <c r="D808" s="1053"/>
      <c r="E808" s="1053"/>
      <c r="R808" s="1054"/>
      <c r="S808" s="1054"/>
      <c r="T808" s="1054"/>
      <c r="U808" s="1054"/>
      <c r="V808" s="1054"/>
      <c r="W808" s="1054"/>
      <c r="X808" s="1054"/>
      <c r="Y808" s="1054"/>
    </row>
    <row r="809" spans="1:25">
      <c r="A809" s="1053"/>
      <c r="B809" s="1053"/>
      <c r="C809" s="1053"/>
      <c r="D809" s="1053"/>
      <c r="E809" s="1053"/>
      <c r="R809" s="1054"/>
      <c r="S809" s="1054"/>
      <c r="T809" s="1054"/>
      <c r="U809" s="1054"/>
      <c r="V809" s="1054"/>
      <c r="W809" s="1054"/>
      <c r="X809" s="1054"/>
      <c r="Y809" s="1054"/>
    </row>
    <row r="810" spans="1:25">
      <c r="A810" s="1053"/>
      <c r="B810" s="1053"/>
      <c r="C810" s="1053"/>
      <c r="D810" s="1053"/>
      <c r="E810" s="1053"/>
      <c r="R810" s="1054"/>
      <c r="S810" s="1054"/>
      <c r="T810" s="1054"/>
      <c r="U810" s="1054"/>
      <c r="V810" s="1054"/>
      <c r="W810" s="1054"/>
      <c r="X810" s="1054"/>
      <c r="Y810" s="1054"/>
    </row>
    <row r="811" spans="1:25">
      <c r="A811" s="1053"/>
      <c r="B811" s="1053"/>
      <c r="C811" s="1053"/>
      <c r="D811" s="1053"/>
      <c r="E811" s="1053"/>
      <c r="R811" s="1054"/>
      <c r="S811" s="1054"/>
      <c r="T811" s="1054"/>
      <c r="U811" s="1054"/>
      <c r="V811" s="1054"/>
      <c r="W811" s="1054"/>
      <c r="X811" s="1054"/>
      <c r="Y811" s="1054"/>
    </row>
    <row r="812" spans="1:25">
      <c r="A812" s="1053"/>
      <c r="B812" s="1053"/>
      <c r="C812" s="1053"/>
      <c r="D812" s="1053"/>
      <c r="E812" s="1053"/>
      <c r="R812" s="1054"/>
      <c r="S812" s="1054"/>
      <c r="T812" s="1054"/>
      <c r="U812" s="1054"/>
      <c r="V812" s="1054"/>
      <c r="W812" s="1054"/>
      <c r="X812" s="1054"/>
      <c r="Y812" s="1054"/>
    </row>
    <row r="813" spans="1:25">
      <c r="A813" s="1053"/>
      <c r="B813" s="1053"/>
      <c r="C813" s="1053"/>
      <c r="D813" s="1053"/>
      <c r="E813" s="1053"/>
      <c r="R813" s="1054"/>
      <c r="S813" s="1054"/>
      <c r="T813" s="1054"/>
      <c r="U813" s="1054"/>
      <c r="V813" s="1054"/>
      <c r="W813" s="1054"/>
      <c r="X813" s="1054"/>
      <c r="Y813" s="1054"/>
    </row>
    <row r="814" spans="1:25">
      <c r="A814" s="1053"/>
      <c r="B814" s="1053"/>
      <c r="C814" s="1053"/>
      <c r="D814" s="1053"/>
      <c r="E814" s="1053"/>
      <c r="R814" s="1054"/>
      <c r="S814" s="1054"/>
      <c r="T814" s="1054"/>
      <c r="U814" s="1054"/>
      <c r="V814" s="1054"/>
      <c r="W814" s="1054"/>
      <c r="X814" s="1054"/>
      <c r="Y814" s="1054"/>
    </row>
    <row r="815" spans="1:25">
      <c r="A815" s="1053"/>
      <c r="B815" s="1053"/>
      <c r="C815" s="1053"/>
      <c r="D815" s="1053"/>
      <c r="E815" s="1053"/>
      <c r="R815" s="1054"/>
      <c r="S815" s="1054"/>
      <c r="T815" s="1054"/>
      <c r="U815" s="1054"/>
      <c r="V815" s="1054"/>
      <c r="W815" s="1054"/>
      <c r="X815" s="1054"/>
      <c r="Y815" s="1054"/>
    </row>
    <row r="816" spans="1:25">
      <c r="A816" s="1053"/>
      <c r="B816" s="1053"/>
      <c r="C816" s="1053"/>
      <c r="D816" s="1053"/>
      <c r="E816" s="1053"/>
      <c r="R816" s="1054"/>
      <c r="S816" s="1054"/>
      <c r="T816" s="1054"/>
      <c r="U816" s="1054"/>
      <c r="V816" s="1054"/>
      <c r="W816" s="1054"/>
      <c r="X816" s="1054"/>
      <c r="Y816" s="1054"/>
    </row>
    <row r="817" spans="1:25">
      <c r="A817" s="1053"/>
      <c r="B817" s="1053"/>
      <c r="C817" s="1053"/>
      <c r="D817" s="1053"/>
      <c r="E817" s="1053"/>
      <c r="R817" s="1054"/>
      <c r="S817" s="1054"/>
      <c r="T817" s="1054"/>
      <c r="U817" s="1054"/>
      <c r="V817" s="1054"/>
      <c r="W817" s="1054"/>
      <c r="X817" s="1054"/>
      <c r="Y817" s="1054"/>
    </row>
    <row r="818" spans="1:25">
      <c r="A818" s="1053"/>
      <c r="B818" s="1053"/>
      <c r="C818" s="1053"/>
      <c r="D818" s="1053"/>
      <c r="E818" s="1053"/>
      <c r="R818" s="1054"/>
      <c r="S818" s="1054"/>
      <c r="T818" s="1054"/>
      <c r="U818" s="1054"/>
      <c r="V818" s="1054"/>
      <c r="W818" s="1054"/>
      <c r="X818" s="1054"/>
      <c r="Y818" s="1054"/>
    </row>
    <row r="819" spans="1:25">
      <c r="A819" s="1053"/>
      <c r="B819" s="1053"/>
      <c r="C819" s="1053"/>
      <c r="D819" s="1053"/>
      <c r="E819" s="1053"/>
      <c r="R819" s="1054"/>
      <c r="S819" s="1054"/>
      <c r="T819" s="1054"/>
      <c r="U819" s="1054"/>
      <c r="V819" s="1054"/>
      <c r="W819" s="1054"/>
      <c r="X819" s="1054"/>
      <c r="Y819" s="1054"/>
    </row>
    <row r="820" spans="1:25">
      <c r="A820" s="1053"/>
      <c r="B820" s="1053"/>
      <c r="C820" s="1053"/>
      <c r="D820" s="1053"/>
      <c r="E820" s="1053"/>
      <c r="R820" s="1054"/>
      <c r="S820" s="1054"/>
      <c r="T820" s="1054"/>
      <c r="U820" s="1054"/>
      <c r="V820" s="1054"/>
      <c r="W820" s="1054"/>
      <c r="X820" s="1054"/>
      <c r="Y820" s="1054"/>
    </row>
    <row r="821" spans="1:25">
      <c r="A821" s="1053"/>
      <c r="B821" s="1053"/>
      <c r="C821" s="1053"/>
      <c r="D821" s="1053"/>
      <c r="E821" s="1053"/>
      <c r="R821" s="1054"/>
      <c r="S821" s="1054"/>
      <c r="T821" s="1054"/>
      <c r="U821" s="1054"/>
      <c r="V821" s="1054"/>
      <c r="W821" s="1054"/>
      <c r="X821" s="1054"/>
      <c r="Y821" s="1054"/>
    </row>
    <row r="822" spans="1:25">
      <c r="A822" s="1053"/>
      <c r="B822" s="1053"/>
      <c r="C822" s="1053"/>
      <c r="D822" s="1053"/>
      <c r="E822" s="1053"/>
      <c r="R822" s="1054"/>
      <c r="S822" s="1054"/>
      <c r="T822" s="1054"/>
      <c r="U822" s="1054"/>
      <c r="V822" s="1054"/>
      <c r="W822" s="1054"/>
      <c r="X822" s="1054"/>
      <c r="Y822" s="1054"/>
    </row>
    <row r="823" spans="1:25">
      <c r="A823" s="1053"/>
      <c r="B823" s="1053"/>
      <c r="C823" s="1053"/>
      <c r="D823" s="1053"/>
      <c r="E823" s="1053"/>
      <c r="R823" s="1054"/>
      <c r="S823" s="1054"/>
      <c r="T823" s="1054"/>
      <c r="U823" s="1054"/>
      <c r="V823" s="1054"/>
      <c r="W823" s="1054"/>
      <c r="X823" s="1054"/>
      <c r="Y823" s="1054"/>
    </row>
    <row r="824" spans="1:25">
      <c r="A824" s="1053"/>
      <c r="B824" s="1053"/>
      <c r="C824" s="1053"/>
      <c r="D824" s="1053"/>
      <c r="E824" s="1053"/>
      <c r="R824" s="1054"/>
      <c r="S824" s="1054"/>
      <c r="T824" s="1054"/>
      <c r="U824" s="1054"/>
      <c r="V824" s="1054"/>
      <c r="W824" s="1054"/>
      <c r="X824" s="1054"/>
      <c r="Y824" s="1054"/>
    </row>
    <row r="825" spans="1:25">
      <c r="A825" s="1053"/>
      <c r="B825" s="1053"/>
      <c r="C825" s="1053"/>
      <c r="D825" s="1053"/>
      <c r="E825" s="1053"/>
      <c r="R825" s="1054"/>
      <c r="S825" s="1054"/>
      <c r="T825" s="1054"/>
      <c r="U825" s="1054"/>
      <c r="V825" s="1054"/>
      <c r="W825" s="1054"/>
      <c r="X825" s="1054"/>
      <c r="Y825" s="1054"/>
    </row>
    <row r="826" spans="1:25">
      <c r="A826" s="1053"/>
      <c r="B826" s="1053"/>
      <c r="C826" s="1053"/>
      <c r="D826" s="1053"/>
      <c r="E826" s="1053"/>
      <c r="R826" s="1054"/>
      <c r="S826" s="1054"/>
      <c r="T826" s="1054"/>
      <c r="U826" s="1054"/>
      <c r="V826" s="1054"/>
      <c r="W826" s="1054"/>
      <c r="X826" s="1054"/>
      <c r="Y826" s="1054"/>
    </row>
    <row r="827" spans="1:25">
      <c r="A827" s="1053"/>
      <c r="B827" s="1053"/>
      <c r="C827" s="1053"/>
      <c r="D827" s="1053"/>
      <c r="E827" s="1053"/>
      <c r="R827" s="1054"/>
      <c r="S827" s="1054"/>
      <c r="T827" s="1054"/>
      <c r="U827" s="1054"/>
      <c r="V827" s="1054"/>
      <c r="W827" s="1054"/>
      <c r="X827" s="1054"/>
      <c r="Y827" s="1054"/>
    </row>
    <row r="828" spans="1:25">
      <c r="A828" s="1053"/>
      <c r="B828" s="1053"/>
      <c r="C828" s="1053"/>
      <c r="D828" s="1053"/>
      <c r="E828" s="1053"/>
      <c r="R828" s="1054"/>
      <c r="S828" s="1054"/>
      <c r="T828" s="1054"/>
      <c r="U828" s="1054"/>
      <c r="V828" s="1054"/>
      <c r="W828" s="1054"/>
      <c r="X828" s="1054"/>
      <c r="Y828" s="1054"/>
    </row>
    <row r="829" spans="1:25">
      <c r="A829" s="1053"/>
      <c r="B829" s="1053"/>
      <c r="C829" s="1053"/>
      <c r="D829" s="1053"/>
      <c r="E829" s="1053"/>
      <c r="R829" s="1054"/>
      <c r="S829" s="1054"/>
      <c r="T829" s="1054"/>
      <c r="U829" s="1054"/>
      <c r="V829" s="1054"/>
      <c r="W829" s="1054"/>
      <c r="X829" s="1054"/>
      <c r="Y829" s="1054"/>
    </row>
    <row r="830" spans="1:25">
      <c r="A830" s="1053"/>
      <c r="B830" s="1053"/>
      <c r="C830" s="1053"/>
      <c r="D830" s="1053"/>
      <c r="E830" s="1053"/>
      <c r="R830" s="1054"/>
      <c r="S830" s="1054"/>
      <c r="T830" s="1054"/>
      <c r="U830" s="1054"/>
      <c r="V830" s="1054"/>
      <c r="W830" s="1054"/>
      <c r="X830" s="1054"/>
      <c r="Y830" s="1054"/>
    </row>
    <row r="831" spans="1:25">
      <c r="A831" s="1053"/>
      <c r="B831" s="1053"/>
      <c r="C831" s="1053"/>
      <c r="D831" s="1053"/>
      <c r="E831" s="1053"/>
      <c r="R831" s="1054"/>
      <c r="S831" s="1054"/>
      <c r="T831" s="1054"/>
      <c r="U831" s="1054"/>
      <c r="V831" s="1054"/>
      <c r="W831" s="1054"/>
      <c r="X831" s="1054"/>
      <c r="Y831" s="1054"/>
    </row>
    <row r="832" spans="1:25">
      <c r="A832" s="1053"/>
      <c r="B832" s="1053"/>
      <c r="C832" s="1053"/>
      <c r="D832" s="1053"/>
      <c r="E832" s="1053"/>
      <c r="R832" s="1054"/>
      <c r="S832" s="1054"/>
      <c r="T832" s="1054"/>
      <c r="U832" s="1054"/>
      <c r="V832" s="1054"/>
      <c r="W832" s="1054"/>
      <c r="X832" s="1054"/>
      <c r="Y832" s="1054"/>
    </row>
    <row r="833" spans="1:25">
      <c r="A833" s="1053"/>
      <c r="B833" s="1053"/>
      <c r="C833" s="1053"/>
      <c r="D833" s="1053"/>
      <c r="E833" s="1053"/>
      <c r="R833" s="1054"/>
      <c r="S833" s="1054"/>
      <c r="T833" s="1054"/>
      <c r="U833" s="1054"/>
      <c r="V833" s="1054"/>
      <c r="W833" s="1054"/>
      <c r="X833" s="1054"/>
      <c r="Y833" s="1054"/>
    </row>
    <row r="834" spans="1:25">
      <c r="A834" s="1053"/>
      <c r="B834" s="1053"/>
      <c r="C834" s="1053"/>
      <c r="D834" s="1053"/>
      <c r="E834" s="1053"/>
      <c r="R834" s="1054"/>
      <c r="S834" s="1054"/>
      <c r="T834" s="1054"/>
      <c r="U834" s="1054"/>
      <c r="V834" s="1054"/>
      <c r="W834" s="1054"/>
      <c r="X834" s="1054"/>
      <c r="Y834" s="1054"/>
    </row>
    <row r="835" spans="1:25">
      <c r="A835" s="1053"/>
      <c r="B835" s="1053"/>
      <c r="C835" s="1053"/>
      <c r="D835" s="1053"/>
      <c r="E835" s="1053"/>
      <c r="R835" s="1054"/>
      <c r="S835" s="1054"/>
      <c r="T835" s="1054"/>
      <c r="U835" s="1054"/>
      <c r="V835" s="1054"/>
      <c r="W835" s="1054"/>
      <c r="X835" s="1054"/>
      <c r="Y835" s="1054"/>
    </row>
    <row r="836" spans="1:25">
      <c r="A836" s="1053"/>
      <c r="B836" s="1053"/>
      <c r="C836" s="1053"/>
      <c r="D836" s="1053"/>
      <c r="E836" s="1053"/>
      <c r="R836" s="1054"/>
      <c r="S836" s="1054"/>
      <c r="T836" s="1054"/>
      <c r="U836" s="1054"/>
      <c r="V836" s="1054"/>
      <c r="W836" s="1054"/>
      <c r="X836" s="1054"/>
      <c r="Y836" s="1054"/>
    </row>
    <row r="837" spans="1:25">
      <c r="A837" s="1053"/>
      <c r="B837" s="1053"/>
      <c r="C837" s="1053"/>
      <c r="D837" s="1053"/>
      <c r="E837" s="1053"/>
      <c r="R837" s="1054"/>
      <c r="S837" s="1054"/>
      <c r="T837" s="1054"/>
      <c r="U837" s="1054"/>
      <c r="V837" s="1054"/>
      <c r="W837" s="1054"/>
      <c r="X837" s="1054"/>
      <c r="Y837" s="1054"/>
    </row>
    <row r="838" spans="1:25">
      <c r="A838" s="1053"/>
      <c r="B838" s="1053"/>
      <c r="C838" s="1053"/>
      <c r="D838" s="1053"/>
      <c r="E838" s="1053"/>
      <c r="R838" s="1054"/>
      <c r="S838" s="1054"/>
      <c r="T838" s="1054"/>
      <c r="U838" s="1054"/>
      <c r="V838" s="1054"/>
      <c r="W838" s="1054"/>
      <c r="X838" s="1054"/>
      <c r="Y838" s="1054"/>
    </row>
    <row r="839" spans="1:25">
      <c r="A839" s="1053"/>
      <c r="B839" s="1053"/>
      <c r="C839" s="1053"/>
      <c r="D839" s="1053"/>
      <c r="E839" s="1053"/>
      <c r="R839" s="1054"/>
      <c r="S839" s="1054"/>
      <c r="T839" s="1054"/>
      <c r="U839" s="1054"/>
      <c r="V839" s="1054"/>
      <c r="W839" s="1054"/>
      <c r="X839" s="1054"/>
      <c r="Y839" s="1054"/>
    </row>
    <row r="840" spans="1:25">
      <c r="A840" s="1053"/>
      <c r="B840" s="1053"/>
      <c r="C840" s="1053"/>
      <c r="D840" s="1053"/>
      <c r="E840" s="1053"/>
      <c r="R840" s="1054"/>
      <c r="S840" s="1054"/>
      <c r="T840" s="1054"/>
      <c r="U840" s="1054"/>
      <c r="V840" s="1054"/>
      <c r="W840" s="1054"/>
      <c r="X840" s="1054"/>
      <c r="Y840" s="1054"/>
    </row>
    <row r="841" spans="1:25">
      <c r="A841" s="1053"/>
      <c r="B841" s="1053"/>
      <c r="C841" s="1053"/>
      <c r="D841" s="1053"/>
      <c r="E841" s="1053"/>
      <c r="R841" s="1054"/>
      <c r="S841" s="1054"/>
      <c r="T841" s="1054"/>
      <c r="U841" s="1054"/>
      <c r="V841" s="1054"/>
      <c r="W841" s="1054"/>
      <c r="X841" s="1054"/>
      <c r="Y841" s="1054"/>
    </row>
    <row r="842" spans="1:25">
      <c r="A842" s="1053"/>
      <c r="B842" s="1053"/>
      <c r="C842" s="1053"/>
      <c r="D842" s="1053"/>
      <c r="E842" s="1053"/>
      <c r="R842" s="1054"/>
      <c r="S842" s="1054"/>
      <c r="T842" s="1054"/>
      <c r="U842" s="1054"/>
      <c r="V842" s="1054"/>
      <c r="W842" s="1054"/>
      <c r="X842" s="1054"/>
      <c r="Y842" s="1054"/>
    </row>
    <row r="843" spans="1:25">
      <c r="A843" s="1053"/>
      <c r="B843" s="1053"/>
      <c r="C843" s="1053"/>
      <c r="D843" s="1053"/>
      <c r="E843" s="1053"/>
      <c r="R843" s="1054"/>
      <c r="S843" s="1054"/>
      <c r="T843" s="1054"/>
      <c r="U843" s="1054"/>
      <c r="V843" s="1054"/>
      <c r="W843" s="1054"/>
      <c r="X843" s="1054"/>
      <c r="Y843" s="1054"/>
    </row>
    <row r="844" spans="1:25">
      <c r="A844" s="1053"/>
      <c r="B844" s="1053"/>
      <c r="C844" s="1053"/>
      <c r="D844" s="1053"/>
      <c r="E844" s="1053"/>
      <c r="R844" s="1054"/>
      <c r="S844" s="1054"/>
      <c r="T844" s="1054"/>
      <c r="U844" s="1054"/>
      <c r="V844" s="1054"/>
      <c r="W844" s="1054"/>
      <c r="X844" s="1054"/>
      <c r="Y844" s="1054"/>
    </row>
    <row r="845" spans="1:25">
      <c r="A845" s="1053"/>
      <c r="B845" s="1053"/>
      <c r="C845" s="1053"/>
      <c r="D845" s="1053"/>
      <c r="E845" s="1053"/>
      <c r="R845" s="1054"/>
      <c r="S845" s="1054"/>
      <c r="T845" s="1054"/>
      <c r="U845" s="1054"/>
      <c r="V845" s="1054"/>
      <c r="W845" s="1054"/>
      <c r="X845" s="1054"/>
      <c r="Y845" s="1054"/>
    </row>
    <row r="846" spans="1:25">
      <c r="A846" s="1053"/>
      <c r="B846" s="1053"/>
      <c r="C846" s="1053"/>
      <c r="D846" s="1053"/>
      <c r="E846" s="1053"/>
      <c r="R846" s="1054"/>
      <c r="S846" s="1054"/>
      <c r="T846" s="1054"/>
      <c r="U846" s="1054"/>
      <c r="V846" s="1054"/>
      <c r="W846" s="1054"/>
      <c r="X846" s="1054"/>
      <c r="Y846" s="1054"/>
    </row>
    <row r="847" spans="1:25">
      <c r="A847" s="1053"/>
      <c r="B847" s="1053"/>
      <c r="C847" s="1053"/>
      <c r="D847" s="1053"/>
      <c r="E847" s="1053"/>
      <c r="R847" s="1054"/>
      <c r="S847" s="1054"/>
      <c r="T847" s="1054"/>
      <c r="U847" s="1054"/>
      <c r="V847" s="1054"/>
      <c r="W847" s="1054"/>
      <c r="X847" s="1054"/>
      <c r="Y847" s="1054"/>
    </row>
    <row r="848" spans="1:25">
      <c r="A848" s="1053"/>
      <c r="B848" s="1053"/>
      <c r="C848" s="1053"/>
      <c r="D848" s="1053"/>
      <c r="E848" s="1053"/>
      <c r="R848" s="1054"/>
      <c r="S848" s="1054"/>
      <c r="T848" s="1054"/>
      <c r="U848" s="1054"/>
      <c r="V848" s="1054"/>
      <c r="W848" s="1054"/>
      <c r="X848" s="1054"/>
      <c r="Y848" s="1054"/>
    </row>
    <row r="849" spans="1:25">
      <c r="A849" s="1053"/>
      <c r="B849" s="1053"/>
      <c r="C849" s="1053"/>
      <c r="D849" s="1053"/>
      <c r="E849" s="1053"/>
      <c r="R849" s="1054"/>
      <c r="S849" s="1054"/>
      <c r="T849" s="1054"/>
      <c r="U849" s="1054"/>
      <c r="V849" s="1054"/>
      <c r="W849" s="1054"/>
      <c r="X849" s="1054"/>
      <c r="Y849" s="1054"/>
    </row>
    <row r="850" spans="1:25">
      <c r="A850" s="1053"/>
      <c r="B850" s="1053"/>
      <c r="C850" s="1053"/>
      <c r="D850" s="1053"/>
      <c r="E850" s="1053"/>
      <c r="R850" s="1054"/>
      <c r="S850" s="1054"/>
      <c r="T850" s="1054"/>
      <c r="U850" s="1054"/>
      <c r="V850" s="1054"/>
      <c r="W850" s="1054"/>
      <c r="X850" s="1054"/>
      <c r="Y850" s="1054"/>
    </row>
    <row r="851" spans="1:25">
      <c r="A851" s="1053"/>
      <c r="B851" s="1053"/>
      <c r="C851" s="1053"/>
      <c r="D851" s="1053"/>
      <c r="E851" s="1053"/>
      <c r="R851" s="1054"/>
      <c r="S851" s="1054"/>
      <c r="T851" s="1054"/>
      <c r="U851" s="1054"/>
      <c r="V851" s="1054"/>
      <c r="W851" s="1054"/>
      <c r="X851" s="1054"/>
      <c r="Y851" s="1054"/>
    </row>
    <row r="852" spans="1:25">
      <c r="A852" s="1053"/>
      <c r="B852" s="1053"/>
      <c r="C852" s="1053"/>
      <c r="D852" s="1053"/>
      <c r="E852" s="1053"/>
      <c r="R852" s="1054"/>
      <c r="S852" s="1054"/>
      <c r="T852" s="1054"/>
      <c r="U852" s="1054"/>
      <c r="V852" s="1054"/>
      <c r="W852" s="1054"/>
      <c r="X852" s="1054"/>
      <c r="Y852" s="1054"/>
    </row>
    <row r="853" spans="1:25">
      <c r="A853" s="1053"/>
      <c r="B853" s="1053"/>
      <c r="C853" s="1053"/>
      <c r="D853" s="1053"/>
      <c r="E853" s="1053"/>
      <c r="R853" s="1054"/>
      <c r="S853" s="1054"/>
      <c r="T853" s="1054"/>
      <c r="U853" s="1054"/>
      <c r="V853" s="1054"/>
      <c r="W853" s="1054"/>
      <c r="X853" s="1054"/>
      <c r="Y853" s="1054"/>
    </row>
    <row r="854" spans="1:25">
      <c r="A854" s="1053"/>
      <c r="B854" s="1053"/>
      <c r="C854" s="1053"/>
      <c r="D854" s="1053"/>
      <c r="E854" s="1053"/>
      <c r="R854" s="1054"/>
      <c r="S854" s="1054"/>
      <c r="T854" s="1054"/>
      <c r="U854" s="1054"/>
      <c r="V854" s="1054"/>
      <c r="W854" s="1054"/>
      <c r="X854" s="1054"/>
      <c r="Y854" s="1054"/>
    </row>
    <row r="855" spans="1:25">
      <c r="A855" s="1053"/>
      <c r="B855" s="1053"/>
      <c r="C855" s="1053"/>
      <c r="D855" s="1053"/>
      <c r="E855" s="1053"/>
      <c r="R855" s="1054"/>
      <c r="S855" s="1054"/>
      <c r="T855" s="1054"/>
      <c r="U855" s="1054"/>
      <c r="V855" s="1054"/>
      <c r="W855" s="1054"/>
      <c r="X855" s="1054"/>
      <c r="Y855" s="1054"/>
    </row>
    <row r="856" spans="1:25">
      <c r="A856" s="1053"/>
      <c r="B856" s="1053"/>
      <c r="C856" s="1053"/>
      <c r="D856" s="1053"/>
      <c r="E856" s="1053"/>
      <c r="R856" s="1054"/>
      <c r="S856" s="1054"/>
      <c r="T856" s="1054"/>
      <c r="U856" s="1054"/>
      <c r="V856" s="1054"/>
      <c r="W856" s="1054"/>
      <c r="X856" s="1054"/>
      <c r="Y856" s="1054"/>
    </row>
    <row r="857" spans="1:25">
      <c r="A857" s="1053"/>
      <c r="B857" s="1053"/>
      <c r="C857" s="1053"/>
      <c r="D857" s="1053"/>
      <c r="E857" s="1053"/>
      <c r="R857" s="1054"/>
      <c r="S857" s="1054"/>
      <c r="T857" s="1054"/>
      <c r="U857" s="1054"/>
      <c r="V857" s="1054"/>
      <c r="W857" s="1054"/>
      <c r="X857" s="1054"/>
      <c r="Y857" s="1054"/>
    </row>
    <row r="858" spans="1:25">
      <c r="A858" s="1053"/>
      <c r="B858" s="1053"/>
      <c r="C858" s="1053"/>
      <c r="D858" s="1053"/>
      <c r="E858" s="1053"/>
      <c r="R858" s="1054"/>
      <c r="S858" s="1054"/>
      <c r="T858" s="1054"/>
      <c r="U858" s="1054"/>
      <c r="V858" s="1054"/>
      <c r="W858" s="1054"/>
      <c r="X858" s="1054"/>
      <c r="Y858" s="1054"/>
    </row>
    <row r="859" spans="1:25">
      <c r="A859" s="1053"/>
      <c r="B859" s="1053"/>
      <c r="C859" s="1053"/>
      <c r="D859" s="1053"/>
      <c r="E859" s="1053"/>
      <c r="R859" s="1054"/>
      <c r="S859" s="1054"/>
      <c r="T859" s="1054"/>
      <c r="U859" s="1054"/>
      <c r="V859" s="1054"/>
      <c r="W859" s="1054"/>
      <c r="X859" s="1054"/>
      <c r="Y859" s="1054"/>
    </row>
    <row r="860" spans="1:25">
      <c r="A860" s="1053"/>
      <c r="B860" s="1053"/>
      <c r="C860" s="1053"/>
      <c r="D860" s="1053"/>
      <c r="E860" s="1053"/>
      <c r="R860" s="1054"/>
      <c r="S860" s="1054"/>
      <c r="T860" s="1054"/>
      <c r="U860" s="1054"/>
      <c r="V860" s="1054"/>
      <c r="W860" s="1054"/>
      <c r="X860" s="1054"/>
      <c r="Y860" s="1054"/>
    </row>
    <row r="861" spans="1:25">
      <c r="A861" s="1053"/>
      <c r="B861" s="1053"/>
      <c r="C861" s="1053"/>
      <c r="D861" s="1053"/>
      <c r="E861" s="1053"/>
      <c r="R861" s="1054"/>
      <c r="S861" s="1054"/>
      <c r="T861" s="1054"/>
      <c r="U861" s="1054"/>
      <c r="V861" s="1054"/>
      <c r="W861" s="1054"/>
      <c r="X861" s="1054"/>
      <c r="Y861" s="1054"/>
    </row>
    <row r="862" spans="1:25">
      <c r="A862" s="1053"/>
      <c r="B862" s="1053"/>
      <c r="C862" s="1053"/>
      <c r="D862" s="1053"/>
      <c r="E862" s="1053"/>
      <c r="R862" s="1054"/>
      <c r="S862" s="1054"/>
      <c r="T862" s="1054"/>
      <c r="U862" s="1054"/>
      <c r="V862" s="1054"/>
      <c r="W862" s="1054"/>
      <c r="X862" s="1054"/>
      <c r="Y862" s="1054"/>
    </row>
    <row r="863" spans="1:25">
      <c r="A863" s="1053"/>
      <c r="B863" s="1053"/>
      <c r="C863" s="1053"/>
      <c r="D863" s="1053"/>
      <c r="E863" s="1053"/>
      <c r="R863" s="1054"/>
      <c r="S863" s="1054"/>
      <c r="T863" s="1054"/>
      <c r="U863" s="1054"/>
      <c r="V863" s="1054"/>
      <c r="W863" s="1054"/>
      <c r="X863" s="1054"/>
      <c r="Y863" s="1054"/>
    </row>
    <row r="864" spans="1:25">
      <c r="A864" s="1053"/>
      <c r="B864" s="1053"/>
      <c r="C864" s="1053"/>
      <c r="D864" s="1053"/>
      <c r="E864" s="1053"/>
      <c r="R864" s="1054"/>
      <c r="S864" s="1054"/>
      <c r="T864" s="1054"/>
      <c r="U864" s="1054"/>
      <c r="V864" s="1054"/>
      <c r="W864" s="1054"/>
      <c r="X864" s="1054"/>
      <c r="Y864" s="1054"/>
    </row>
    <row r="865" spans="1:25">
      <c r="A865" s="1053"/>
      <c r="B865" s="1053"/>
      <c r="C865" s="1053"/>
      <c r="D865" s="1053"/>
      <c r="E865" s="1053"/>
      <c r="R865" s="1054"/>
      <c r="S865" s="1054"/>
      <c r="T865" s="1054"/>
      <c r="U865" s="1054"/>
      <c r="V865" s="1054"/>
      <c r="W865" s="1054"/>
      <c r="X865" s="1054"/>
      <c r="Y865" s="1054"/>
    </row>
    <row r="866" spans="1:25">
      <c r="A866" s="1053"/>
      <c r="B866" s="1053"/>
      <c r="C866" s="1053"/>
      <c r="D866" s="1053"/>
      <c r="E866" s="1053"/>
      <c r="R866" s="1054"/>
      <c r="S866" s="1054"/>
      <c r="T866" s="1054"/>
      <c r="U866" s="1054"/>
      <c r="V866" s="1054"/>
      <c r="W866" s="1054"/>
      <c r="X866" s="1054"/>
      <c r="Y866" s="1054"/>
    </row>
    <row r="867" spans="1:25">
      <c r="A867" s="1053"/>
      <c r="B867" s="1053"/>
      <c r="C867" s="1053"/>
      <c r="D867" s="1053"/>
      <c r="E867" s="1053"/>
      <c r="R867" s="1054"/>
      <c r="S867" s="1054"/>
      <c r="T867" s="1054"/>
      <c r="U867" s="1054"/>
      <c r="V867" s="1054"/>
      <c r="W867" s="1054"/>
      <c r="X867" s="1054"/>
      <c r="Y867" s="1054"/>
    </row>
    <row r="868" spans="1:25">
      <c r="A868" s="1053"/>
      <c r="B868" s="1053"/>
      <c r="C868" s="1053"/>
      <c r="D868" s="1053"/>
      <c r="E868" s="1053"/>
      <c r="R868" s="1054"/>
      <c r="S868" s="1054"/>
      <c r="T868" s="1054"/>
      <c r="U868" s="1054"/>
      <c r="V868" s="1054"/>
      <c r="W868" s="1054"/>
      <c r="X868" s="1054"/>
      <c r="Y868" s="1054"/>
    </row>
    <row r="869" spans="1:25">
      <c r="A869" s="1053"/>
      <c r="B869" s="1053"/>
      <c r="C869" s="1053"/>
      <c r="D869" s="1053"/>
      <c r="E869" s="1053"/>
      <c r="R869" s="1054"/>
      <c r="S869" s="1054"/>
      <c r="T869" s="1054"/>
      <c r="U869" s="1054"/>
      <c r="V869" s="1054"/>
      <c r="W869" s="1054"/>
      <c r="X869" s="1054"/>
      <c r="Y869" s="1054"/>
    </row>
    <row r="870" spans="1:25">
      <c r="A870" s="1053"/>
      <c r="B870" s="1053"/>
      <c r="C870" s="1053"/>
      <c r="D870" s="1053"/>
      <c r="E870" s="1053"/>
      <c r="R870" s="1054"/>
      <c r="S870" s="1054"/>
      <c r="T870" s="1054"/>
      <c r="U870" s="1054"/>
      <c r="V870" s="1054"/>
      <c r="W870" s="1054"/>
      <c r="X870" s="1054"/>
      <c r="Y870" s="1054"/>
    </row>
    <row r="871" spans="1:25">
      <c r="A871" s="1053"/>
      <c r="B871" s="1053"/>
      <c r="C871" s="1053"/>
      <c r="D871" s="1053"/>
      <c r="E871" s="1053"/>
      <c r="R871" s="1054"/>
      <c r="S871" s="1054"/>
      <c r="T871" s="1054"/>
      <c r="U871" s="1054"/>
      <c r="V871" s="1054"/>
      <c r="W871" s="1054"/>
      <c r="X871" s="1054"/>
      <c r="Y871" s="1054"/>
    </row>
    <row r="872" spans="1:25">
      <c r="A872" s="1053"/>
      <c r="B872" s="1053"/>
      <c r="C872" s="1053"/>
      <c r="D872" s="1053"/>
      <c r="E872" s="1053"/>
      <c r="R872" s="1054"/>
      <c r="S872" s="1054"/>
      <c r="T872" s="1054"/>
      <c r="U872" s="1054"/>
      <c r="V872" s="1054"/>
      <c r="W872" s="1054"/>
      <c r="X872" s="1054"/>
      <c r="Y872" s="1054"/>
    </row>
    <row r="873" spans="1:25">
      <c r="A873" s="1053"/>
      <c r="B873" s="1053"/>
      <c r="C873" s="1053"/>
      <c r="D873" s="1053"/>
      <c r="E873" s="1053"/>
      <c r="R873" s="1054"/>
      <c r="S873" s="1054"/>
      <c r="T873" s="1054"/>
      <c r="U873" s="1054"/>
      <c r="V873" s="1054"/>
      <c r="W873" s="1054"/>
      <c r="X873" s="1054"/>
      <c r="Y873" s="1054"/>
    </row>
    <row r="874" spans="1:25">
      <c r="A874" s="1053"/>
      <c r="B874" s="1053"/>
      <c r="C874" s="1053"/>
      <c r="D874" s="1053"/>
      <c r="E874" s="1053"/>
      <c r="R874" s="1054"/>
      <c r="S874" s="1054"/>
      <c r="T874" s="1054"/>
      <c r="U874" s="1054"/>
      <c r="V874" s="1054"/>
      <c r="W874" s="1054"/>
      <c r="X874" s="1054"/>
      <c r="Y874" s="1054"/>
    </row>
    <row r="875" spans="1:25">
      <c r="A875" s="1053"/>
      <c r="B875" s="1053"/>
      <c r="C875" s="1053"/>
      <c r="D875" s="1053"/>
      <c r="E875" s="1053"/>
      <c r="R875" s="1054"/>
      <c r="S875" s="1054"/>
      <c r="T875" s="1054"/>
      <c r="U875" s="1054"/>
      <c r="V875" s="1054"/>
      <c r="W875" s="1054"/>
      <c r="X875" s="1054"/>
      <c r="Y875" s="1054"/>
    </row>
    <row r="876" spans="1:25">
      <c r="A876" s="1053"/>
      <c r="B876" s="1053"/>
      <c r="C876" s="1053"/>
      <c r="D876" s="1053"/>
      <c r="E876" s="1053"/>
      <c r="R876" s="1054"/>
      <c r="S876" s="1054"/>
      <c r="T876" s="1054"/>
      <c r="U876" s="1054"/>
      <c r="V876" s="1054"/>
      <c r="W876" s="1054"/>
      <c r="X876" s="1054"/>
      <c r="Y876" s="1054"/>
    </row>
    <row r="877" spans="1:25">
      <c r="A877" s="1053"/>
      <c r="B877" s="1053"/>
      <c r="C877" s="1053"/>
      <c r="D877" s="1053"/>
      <c r="E877" s="1053"/>
      <c r="R877" s="1054"/>
      <c r="S877" s="1054"/>
      <c r="T877" s="1054"/>
      <c r="U877" s="1054"/>
      <c r="V877" s="1054"/>
      <c r="W877" s="1054"/>
      <c r="X877" s="1054"/>
      <c r="Y877" s="1054"/>
    </row>
    <row r="878" spans="1:25">
      <c r="A878" s="1053"/>
      <c r="B878" s="1053"/>
      <c r="C878" s="1053"/>
      <c r="D878" s="1053"/>
      <c r="E878" s="1053"/>
      <c r="R878" s="1054"/>
      <c r="S878" s="1054"/>
      <c r="T878" s="1054"/>
      <c r="U878" s="1054"/>
      <c r="V878" s="1054"/>
      <c r="W878" s="1054"/>
      <c r="X878" s="1054"/>
      <c r="Y878" s="1054"/>
    </row>
    <row r="879" spans="1:25">
      <c r="A879" s="1053"/>
      <c r="B879" s="1053"/>
      <c r="C879" s="1053"/>
      <c r="D879" s="1053"/>
      <c r="E879" s="1053"/>
      <c r="R879" s="1054"/>
      <c r="S879" s="1054"/>
      <c r="T879" s="1054"/>
      <c r="U879" s="1054"/>
      <c r="V879" s="1054"/>
      <c r="W879" s="1054"/>
      <c r="X879" s="1054"/>
      <c r="Y879" s="1054"/>
    </row>
    <row r="880" spans="1:25">
      <c r="A880" s="1053"/>
      <c r="B880" s="1053"/>
      <c r="C880" s="1053"/>
      <c r="D880" s="1053"/>
      <c r="E880" s="1053"/>
      <c r="R880" s="1054"/>
      <c r="S880" s="1054"/>
      <c r="T880" s="1054"/>
      <c r="U880" s="1054"/>
      <c r="V880" s="1054"/>
      <c r="W880" s="1054"/>
      <c r="X880" s="1054"/>
      <c r="Y880" s="1054"/>
    </row>
    <row r="881" spans="1:25">
      <c r="A881" s="1053"/>
      <c r="B881" s="1053"/>
      <c r="C881" s="1053"/>
      <c r="D881" s="1053"/>
      <c r="E881" s="1053"/>
      <c r="R881" s="1054"/>
      <c r="S881" s="1054"/>
      <c r="T881" s="1054"/>
      <c r="U881" s="1054"/>
      <c r="V881" s="1054"/>
      <c r="W881" s="1054"/>
      <c r="X881" s="1054"/>
      <c r="Y881" s="1054"/>
    </row>
    <row r="882" spans="1:25">
      <c r="A882" s="1053"/>
      <c r="B882" s="1053"/>
      <c r="C882" s="1053"/>
      <c r="D882" s="1053"/>
      <c r="E882" s="1053"/>
      <c r="R882" s="1054"/>
      <c r="S882" s="1054"/>
      <c r="T882" s="1054"/>
      <c r="U882" s="1054"/>
      <c r="V882" s="1054"/>
      <c r="W882" s="1054"/>
      <c r="X882" s="1054"/>
      <c r="Y882" s="1054"/>
    </row>
    <row r="883" spans="1:25">
      <c r="A883" s="1053"/>
      <c r="B883" s="1053"/>
      <c r="C883" s="1053"/>
      <c r="D883" s="1053"/>
      <c r="E883" s="1053"/>
      <c r="R883" s="1054"/>
      <c r="S883" s="1054"/>
      <c r="T883" s="1054"/>
      <c r="U883" s="1054"/>
      <c r="V883" s="1054"/>
      <c r="W883" s="1054"/>
      <c r="X883" s="1054"/>
      <c r="Y883" s="1054"/>
    </row>
    <row r="884" spans="1:25">
      <c r="A884" s="1053"/>
      <c r="B884" s="1053"/>
      <c r="C884" s="1053"/>
      <c r="D884" s="1053"/>
      <c r="E884" s="1053"/>
      <c r="R884" s="1054"/>
      <c r="S884" s="1054"/>
      <c r="T884" s="1054"/>
      <c r="U884" s="1054"/>
      <c r="V884" s="1054"/>
      <c r="W884" s="1054"/>
      <c r="X884" s="1054"/>
      <c r="Y884" s="1054"/>
    </row>
    <row r="885" spans="1:25">
      <c r="A885" s="1053"/>
      <c r="B885" s="1053"/>
      <c r="C885" s="1053"/>
      <c r="D885" s="1053"/>
      <c r="E885" s="1053"/>
      <c r="R885" s="1054"/>
      <c r="S885" s="1054"/>
      <c r="T885" s="1054"/>
      <c r="U885" s="1054"/>
      <c r="V885" s="1054"/>
      <c r="W885" s="1054"/>
      <c r="X885" s="1054"/>
      <c r="Y885" s="1054"/>
    </row>
    <row r="886" spans="1:25">
      <c r="A886" s="1053"/>
      <c r="B886" s="1053"/>
      <c r="C886" s="1053"/>
      <c r="D886" s="1053"/>
      <c r="E886" s="1053"/>
      <c r="R886" s="1054"/>
      <c r="S886" s="1054"/>
      <c r="T886" s="1054"/>
      <c r="U886" s="1054"/>
      <c r="V886" s="1054"/>
      <c r="W886" s="1054"/>
      <c r="X886" s="1054"/>
      <c r="Y886" s="1054"/>
    </row>
    <row r="887" spans="1:25">
      <c r="A887" s="1053"/>
      <c r="B887" s="1053"/>
      <c r="C887" s="1053"/>
      <c r="D887" s="1053"/>
      <c r="E887" s="1053"/>
      <c r="R887" s="1054"/>
      <c r="S887" s="1054"/>
      <c r="T887" s="1054"/>
      <c r="U887" s="1054"/>
      <c r="V887" s="1054"/>
      <c r="W887" s="1054"/>
      <c r="X887" s="1054"/>
      <c r="Y887" s="1054"/>
    </row>
    <row r="888" spans="1:25">
      <c r="A888" s="1053"/>
      <c r="B888" s="1053"/>
      <c r="C888" s="1053"/>
      <c r="D888" s="1053"/>
      <c r="E888" s="1053"/>
      <c r="R888" s="1054"/>
      <c r="S888" s="1054"/>
      <c r="T888" s="1054"/>
      <c r="U888" s="1054"/>
      <c r="V888" s="1054"/>
      <c r="W888" s="1054"/>
      <c r="X888" s="1054"/>
      <c r="Y888" s="1054"/>
    </row>
    <row r="889" spans="1:25">
      <c r="A889" s="1053"/>
      <c r="B889" s="1053"/>
      <c r="C889" s="1053"/>
      <c r="D889" s="1053"/>
      <c r="E889" s="1053"/>
      <c r="R889" s="1054"/>
      <c r="S889" s="1054"/>
      <c r="T889" s="1054"/>
      <c r="U889" s="1054"/>
      <c r="V889" s="1054"/>
      <c r="W889" s="1054"/>
      <c r="X889" s="1054"/>
      <c r="Y889" s="1054"/>
    </row>
    <row r="890" spans="1:25">
      <c r="A890" s="1053"/>
      <c r="B890" s="1053"/>
      <c r="C890" s="1053"/>
      <c r="D890" s="1053"/>
      <c r="E890" s="1053"/>
      <c r="R890" s="1054"/>
      <c r="S890" s="1054"/>
      <c r="T890" s="1054"/>
      <c r="U890" s="1054"/>
      <c r="V890" s="1054"/>
      <c r="W890" s="1054"/>
      <c r="X890" s="1054"/>
      <c r="Y890" s="1054"/>
    </row>
    <row r="891" spans="1:25">
      <c r="A891" s="1053"/>
      <c r="B891" s="1053"/>
      <c r="C891" s="1053"/>
      <c r="D891" s="1053"/>
      <c r="E891" s="1053"/>
      <c r="R891" s="1054"/>
      <c r="S891" s="1054"/>
      <c r="T891" s="1054"/>
      <c r="U891" s="1054"/>
      <c r="V891" s="1054"/>
      <c r="W891" s="1054"/>
      <c r="X891" s="1054"/>
      <c r="Y891" s="1054"/>
    </row>
    <row r="892" spans="1:25">
      <c r="A892" s="1053"/>
      <c r="B892" s="1053"/>
      <c r="C892" s="1053"/>
      <c r="D892" s="1053"/>
      <c r="E892" s="1053"/>
      <c r="R892" s="1054"/>
      <c r="S892" s="1054"/>
      <c r="T892" s="1054"/>
      <c r="U892" s="1054"/>
      <c r="V892" s="1054"/>
      <c r="W892" s="1054"/>
      <c r="X892" s="1054"/>
      <c r="Y892" s="1054"/>
    </row>
    <row r="893" spans="1:25">
      <c r="A893" s="1053"/>
      <c r="B893" s="1053"/>
      <c r="C893" s="1053"/>
      <c r="D893" s="1053"/>
      <c r="E893" s="1053"/>
      <c r="R893" s="1054"/>
      <c r="S893" s="1054"/>
      <c r="T893" s="1054"/>
      <c r="U893" s="1054"/>
      <c r="V893" s="1054"/>
      <c r="W893" s="1054"/>
      <c r="X893" s="1054"/>
      <c r="Y893" s="1054"/>
    </row>
    <row r="894" spans="1:25">
      <c r="A894" s="1053"/>
      <c r="B894" s="1053"/>
      <c r="C894" s="1053"/>
      <c r="D894" s="1053"/>
      <c r="E894" s="1053"/>
      <c r="R894" s="1054"/>
      <c r="S894" s="1054"/>
      <c r="T894" s="1054"/>
      <c r="U894" s="1054"/>
      <c r="V894" s="1054"/>
      <c r="W894" s="1054"/>
      <c r="X894" s="1054"/>
      <c r="Y894" s="1054"/>
    </row>
    <row r="895" spans="1:25">
      <c r="A895" s="1053"/>
      <c r="B895" s="1053"/>
      <c r="C895" s="1053"/>
      <c r="D895" s="1053"/>
      <c r="E895" s="1053"/>
      <c r="R895" s="1054"/>
      <c r="S895" s="1054"/>
      <c r="T895" s="1054"/>
      <c r="U895" s="1054"/>
      <c r="V895" s="1054"/>
      <c r="W895" s="1054"/>
      <c r="X895" s="1054"/>
      <c r="Y895" s="1054"/>
    </row>
    <row r="896" spans="1:25">
      <c r="A896" s="1053"/>
      <c r="B896" s="1053"/>
      <c r="C896" s="1053"/>
      <c r="D896" s="1053"/>
      <c r="E896" s="1053"/>
      <c r="R896" s="1054"/>
      <c r="S896" s="1054"/>
      <c r="T896" s="1054"/>
      <c r="U896" s="1054"/>
      <c r="V896" s="1054"/>
      <c r="W896" s="1054"/>
      <c r="X896" s="1054"/>
      <c r="Y896" s="1054"/>
    </row>
    <row r="897" spans="1:25">
      <c r="A897" s="1053"/>
      <c r="B897" s="1053"/>
      <c r="C897" s="1053"/>
      <c r="D897" s="1053"/>
      <c r="E897" s="1053"/>
      <c r="R897" s="1054"/>
      <c r="S897" s="1054"/>
      <c r="T897" s="1054"/>
      <c r="U897" s="1054"/>
      <c r="V897" s="1054"/>
      <c r="W897" s="1054"/>
      <c r="X897" s="1054"/>
      <c r="Y897" s="1054"/>
    </row>
    <row r="898" spans="1:25">
      <c r="A898" s="1053"/>
      <c r="B898" s="1053"/>
      <c r="C898" s="1053"/>
      <c r="D898" s="1053"/>
      <c r="E898" s="1053"/>
      <c r="R898" s="1054"/>
      <c r="S898" s="1054"/>
      <c r="T898" s="1054"/>
      <c r="U898" s="1054"/>
      <c r="V898" s="1054"/>
      <c r="W898" s="1054"/>
      <c r="X898" s="1054"/>
      <c r="Y898" s="1054"/>
    </row>
    <row r="899" spans="1:25">
      <c r="A899" s="1053"/>
      <c r="B899" s="1053"/>
      <c r="C899" s="1053"/>
      <c r="D899" s="1053"/>
      <c r="E899" s="1053"/>
      <c r="R899" s="1054"/>
      <c r="S899" s="1054"/>
      <c r="T899" s="1054"/>
      <c r="U899" s="1054"/>
      <c r="V899" s="1054"/>
      <c r="W899" s="1054"/>
      <c r="X899" s="1054"/>
      <c r="Y899" s="1054"/>
    </row>
    <row r="900" spans="1:25">
      <c r="A900" s="1053"/>
      <c r="B900" s="1053"/>
      <c r="C900" s="1053"/>
      <c r="D900" s="1053"/>
      <c r="E900" s="1053"/>
      <c r="R900" s="1054"/>
      <c r="S900" s="1054"/>
      <c r="T900" s="1054"/>
      <c r="U900" s="1054"/>
      <c r="V900" s="1054"/>
      <c r="W900" s="1054"/>
      <c r="X900" s="1054"/>
      <c r="Y900" s="1054"/>
    </row>
    <row r="901" spans="1:25">
      <c r="A901" s="1053"/>
      <c r="B901" s="1053"/>
      <c r="C901" s="1053"/>
      <c r="D901" s="1053"/>
      <c r="E901" s="1053"/>
      <c r="R901" s="1054"/>
      <c r="S901" s="1054"/>
      <c r="T901" s="1054"/>
      <c r="U901" s="1054"/>
      <c r="V901" s="1054"/>
      <c r="W901" s="1054"/>
      <c r="X901" s="1054"/>
      <c r="Y901" s="1054"/>
    </row>
    <row r="902" spans="1:25">
      <c r="A902" s="1053"/>
      <c r="B902" s="1053"/>
      <c r="C902" s="1053"/>
      <c r="D902" s="1053"/>
      <c r="E902" s="1053"/>
      <c r="R902" s="1054"/>
      <c r="S902" s="1054"/>
      <c r="T902" s="1054"/>
      <c r="U902" s="1054"/>
      <c r="V902" s="1054"/>
      <c r="W902" s="1054"/>
      <c r="X902" s="1054"/>
      <c r="Y902" s="1054"/>
    </row>
    <row r="903" spans="1:25">
      <c r="A903" s="1053"/>
      <c r="B903" s="1053"/>
      <c r="C903" s="1053"/>
      <c r="D903" s="1053"/>
      <c r="E903" s="1053"/>
      <c r="R903" s="1054"/>
      <c r="S903" s="1054"/>
      <c r="T903" s="1054"/>
      <c r="U903" s="1054"/>
      <c r="V903" s="1054"/>
      <c r="W903" s="1054"/>
      <c r="X903" s="1054"/>
      <c r="Y903" s="1054"/>
    </row>
    <row r="904" spans="1:25">
      <c r="A904" s="1053"/>
      <c r="B904" s="1053"/>
      <c r="C904" s="1053"/>
      <c r="D904" s="1053"/>
      <c r="E904" s="1053"/>
      <c r="R904" s="1054"/>
      <c r="S904" s="1054"/>
      <c r="T904" s="1054"/>
      <c r="U904" s="1054"/>
      <c r="V904" s="1054"/>
      <c r="W904" s="1054"/>
      <c r="X904" s="1054"/>
      <c r="Y904" s="1054"/>
    </row>
    <row r="905" spans="1:25">
      <c r="A905" s="1053"/>
      <c r="B905" s="1053"/>
      <c r="C905" s="1053"/>
      <c r="D905" s="1053"/>
      <c r="E905" s="1053"/>
      <c r="R905" s="1054"/>
      <c r="S905" s="1054"/>
      <c r="T905" s="1054"/>
      <c r="U905" s="1054"/>
      <c r="V905" s="1054"/>
      <c r="W905" s="1054"/>
      <c r="X905" s="1054"/>
      <c r="Y905" s="1054"/>
    </row>
    <row r="906" spans="1:25">
      <c r="A906" s="1053"/>
      <c r="B906" s="1053"/>
      <c r="C906" s="1053"/>
      <c r="D906" s="1053"/>
      <c r="E906" s="1053"/>
      <c r="R906" s="1054"/>
      <c r="S906" s="1054"/>
      <c r="T906" s="1054"/>
      <c r="U906" s="1054"/>
      <c r="V906" s="1054"/>
      <c r="W906" s="1054"/>
      <c r="X906" s="1054"/>
      <c r="Y906" s="1054"/>
    </row>
    <row r="907" spans="1:25">
      <c r="A907" s="1053"/>
      <c r="B907" s="1053"/>
      <c r="C907" s="1053"/>
      <c r="D907" s="1053"/>
      <c r="E907" s="1053"/>
      <c r="R907" s="1054"/>
      <c r="S907" s="1054"/>
      <c r="T907" s="1054"/>
      <c r="U907" s="1054"/>
      <c r="V907" s="1054"/>
      <c r="W907" s="1054"/>
      <c r="X907" s="1054"/>
      <c r="Y907" s="1054"/>
    </row>
    <row r="908" spans="1:25">
      <c r="A908" s="1053"/>
      <c r="B908" s="1053"/>
      <c r="C908" s="1053"/>
      <c r="D908" s="1053"/>
      <c r="E908" s="1053"/>
      <c r="R908" s="1054"/>
      <c r="S908" s="1054"/>
      <c r="T908" s="1054"/>
      <c r="U908" s="1054"/>
      <c r="V908" s="1054"/>
      <c r="W908" s="1054"/>
      <c r="X908" s="1054"/>
      <c r="Y908" s="1054"/>
    </row>
    <row r="909" spans="1:25">
      <c r="A909" s="1053"/>
      <c r="B909" s="1053"/>
      <c r="C909" s="1053"/>
      <c r="D909" s="1053"/>
      <c r="E909" s="1053"/>
      <c r="R909" s="1054"/>
      <c r="S909" s="1054"/>
      <c r="T909" s="1054"/>
      <c r="U909" s="1054"/>
      <c r="V909" s="1054"/>
      <c r="W909" s="1054"/>
      <c r="X909" s="1054"/>
      <c r="Y909" s="1054"/>
    </row>
    <row r="910" spans="1:25">
      <c r="A910" s="1053"/>
      <c r="B910" s="1053"/>
      <c r="C910" s="1053"/>
      <c r="D910" s="1053"/>
      <c r="E910" s="1053"/>
      <c r="R910" s="1054"/>
      <c r="S910" s="1054"/>
      <c r="T910" s="1054"/>
      <c r="U910" s="1054"/>
      <c r="V910" s="1054"/>
      <c r="W910" s="1054"/>
      <c r="X910" s="1054"/>
      <c r="Y910" s="1054"/>
    </row>
    <row r="911" spans="1:25">
      <c r="A911" s="1053"/>
      <c r="B911" s="1053"/>
      <c r="C911" s="1053"/>
      <c r="D911" s="1053"/>
      <c r="E911" s="1053"/>
      <c r="R911" s="1054"/>
      <c r="S911" s="1054"/>
      <c r="T911" s="1054"/>
      <c r="U911" s="1054"/>
      <c r="V911" s="1054"/>
      <c r="W911" s="1054"/>
      <c r="X911" s="1054"/>
      <c r="Y911" s="1054"/>
    </row>
    <row r="912" spans="1:25">
      <c r="A912" s="1053"/>
      <c r="B912" s="1053"/>
      <c r="C912" s="1053"/>
      <c r="D912" s="1053"/>
      <c r="E912" s="1053"/>
      <c r="R912" s="1054"/>
      <c r="S912" s="1054"/>
      <c r="T912" s="1054"/>
      <c r="U912" s="1054"/>
      <c r="V912" s="1054"/>
      <c r="W912" s="1054"/>
      <c r="X912" s="1054"/>
      <c r="Y912" s="1054"/>
    </row>
    <row r="913" spans="1:25">
      <c r="A913" s="1053"/>
      <c r="B913" s="1053"/>
      <c r="C913" s="1053"/>
      <c r="D913" s="1053"/>
      <c r="E913" s="1053"/>
      <c r="R913" s="1054"/>
      <c r="S913" s="1054"/>
      <c r="T913" s="1054"/>
      <c r="U913" s="1054"/>
      <c r="V913" s="1054"/>
      <c r="W913" s="1054"/>
      <c r="X913" s="1054"/>
      <c r="Y913" s="1054"/>
    </row>
    <row r="914" spans="1:25">
      <c r="A914" s="1053"/>
      <c r="B914" s="1053"/>
      <c r="C914" s="1053"/>
      <c r="D914" s="1053"/>
      <c r="E914" s="1053"/>
      <c r="R914" s="1054"/>
      <c r="S914" s="1054"/>
      <c r="T914" s="1054"/>
      <c r="U914" s="1054"/>
      <c r="V914" s="1054"/>
      <c r="W914" s="1054"/>
      <c r="X914" s="1054"/>
      <c r="Y914" s="1054"/>
    </row>
    <row r="915" spans="1:25">
      <c r="A915" s="1053"/>
      <c r="B915" s="1053"/>
      <c r="C915" s="1053"/>
      <c r="D915" s="1053"/>
      <c r="E915" s="1053"/>
      <c r="R915" s="1054"/>
      <c r="S915" s="1054"/>
      <c r="T915" s="1054"/>
      <c r="U915" s="1054"/>
      <c r="V915" s="1054"/>
      <c r="W915" s="1054"/>
      <c r="X915" s="1054"/>
      <c r="Y915" s="1054"/>
    </row>
    <row r="916" spans="1:25">
      <c r="A916" s="1053"/>
      <c r="B916" s="1053"/>
      <c r="C916" s="1053"/>
      <c r="D916" s="1053"/>
      <c r="E916" s="1053"/>
      <c r="R916" s="1054"/>
      <c r="S916" s="1054"/>
      <c r="T916" s="1054"/>
      <c r="U916" s="1054"/>
      <c r="V916" s="1054"/>
      <c r="W916" s="1054"/>
      <c r="X916" s="1054"/>
      <c r="Y916" s="1054"/>
    </row>
    <row r="917" spans="1:25">
      <c r="A917" s="1053"/>
      <c r="B917" s="1053"/>
      <c r="C917" s="1053"/>
      <c r="D917" s="1053"/>
      <c r="E917" s="1053"/>
      <c r="R917" s="1054"/>
      <c r="S917" s="1054"/>
      <c r="T917" s="1054"/>
      <c r="U917" s="1054"/>
      <c r="V917" s="1054"/>
      <c r="W917" s="1054"/>
      <c r="X917" s="1054"/>
      <c r="Y917" s="1054"/>
    </row>
    <row r="918" spans="1:25">
      <c r="A918" s="1053"/>
      <c r="B918" s="1053"/>
      <c r="C918" s="1053"/>
      <c r="D918" s="1053"/>
      <c r="E918" s="1053"/>
      <c r="R918" s="1054"/>
      <c r="S918" s="1054"/>
      <c r="T918" s="1054"/>
      <c r="U918" s="1054"/>
      <c r="V918" s="1054"/>
      <c r="W918" s="1054"/>
      <c r="X918" s="1054"/>
      <c r="Y918" s="1054"/>
    </row>
    <row r="919" spans="1:25">
      <c r="A919" s="1053"/>
      <c r="B919" s="1053"/>
      <c r="C919" s="1053"/>
      <c r="D919" s="1053"/>
      <c r="E919" s="1053"/>
      <c r="R919" s="1054"/>
      <c r="S919" s="1054"/>
      <c r="T919" s="1054"/>
      <c r="U919" s="1054"/>
      <c r="V919" s="1054"/>
      <c r="W919" s="1054"/>
      <c r="X919" s="1054"/>
      <c r="Y919" s="1054"/>
    </row>
    <row r="920" spans="1:25">
      <c r="A920" s="1053"/>
      <c r="B920" s="1053"/>
      <c r="C920" s="1053"/>
      <c r="D920" s="1053"/>
      <c r="E920" s="1053"/>
      <c r="R920" s="1054"/>
      <c r="S920" s="1054"/>
      <c r="T920" s="1054"/>
      <c r="U920" s="1054"/>
      <c r="V920" s="1054"/>
      <c r="W920" s="1054"/>
      <c r="X920" s="1054"/>
      <c r="Y920" s="1054"/>
    </row>
    <row r="921" spans="1:25">
      <c r="A921" s="1053"/>
      <c r="B921" s="1053"/>
      <c r="C921" s="1053"/>
      <c r="D921" s="1053"/>
      <c r="E921" s="1053"/>
      <c r="R921" s="1054"/>
      <c r="S921" s="1054"/>
      <c r="T921" s="1054"/>
      <c r="U921" s="1054"/>
      <c r="V921" s="1054"/>
      <c r="W921" s="1054"/>
      <c r="X921" s="1054"/>
      <c r="Y921" s="1054"/>
    </row>
    <row r="922" spans="1:25">
      <c r="A922" s="1053"/>
      <c r="B922" s="1053"/>
      <c r="C922" s="1053"/>
      <c r="D922" s="1053"/>
      <c r="E922" s="1053"/>
      <c r="R922" s="1054"/>
      <c r="S922" s="1054"/>
      <c r="T922" s="1054"/>
      <c r="U922" s="1054"/>
      <c r="V922" s="1054"/>
      <c r="W922" s="1054"/>
      <c r="X922" s="1054"/>
      <c r="Y922" s="1054"/>
    </row>
    <row r="923" spans="1:25">
      <c r="A923" s="1053"/>
      <c r="B923" s="1053"/>
      <c r="C923" s="1053"/>
      <c r="D923" s="1053"/>
      <c r="E923" s="1053"/>
      <c r="R923" s="1054"/>
      <c r="S923" s="1054"/>
      <c r="T923" s="1054"/>
      <c r="U923" s="1054"/>
      <c r="V923" s="1054"/>
      <c r="W923" s="1054"/>
      <c r="X923" s="1054"/>
      <c r="Y923" s="1054"/>
    </row>
    <row r="924" spans="1:25">
      <c r="A924" s="1053"/>
      <c r="B924" s="1053"/>
      <c r="C924" s="1053"/>
      <c r="D924" s="1053"/>
      <c r="E924" s="1053"/>
      <c r="R924" s="1054"/>
      <c r="S924" s="1054"/>
      <c r="T924" s="1054"/>
      <c r="U924" s="1054"/>
      <c r="V924" s="1054"/>
      <c r="W924" s="1054"/>
      <c r="X924" s="1054"/>
      <c r="Y924" s="1054"/>
    </row>
    <row r="925" spans="1:25">
      <c r="A925" s="1053"/>
      <c r="B925" s="1053"/>
      <c r="C925" s="1053"/>
      <c r="D925" s="1053"/>
      <c r="E925" s="1053"/>
      <c r="R925" s="1054"/>
      <c r="S925" s="1054"/>
      <c r="T925" s="1054"/>
      <c r="U925" s="1054"/>
      <c r="V925" s="1054"/>
      <c r="W925" s="1054"/>
      <c r="X925" s="1054"/>
      <c r="Y925" s="1054"/>
    </row>
    <row r="926" spans="1:25">
      <c r="A926" s="1053"/>
      <c r="B926" s="1053"/>
      <c r="C926" s="1053"/>
      <c r="D926" s="1053"/>
      <c r="E926" s="1053"/>
      <c r="R926" s="1054"/>
      <c r="S926" s="1054"/>
      <c r="T926" s="1054"/>
      <c r="U926" s="1054"/>
      <c r="V926" s="1054"/>
      <c r="W926" s="1054"/>
      <c r="X926" s="1054"/>
      <c r="Y926" s="1054"/>
    </row>
    <row r="927" spans="1:25">
      <c r="A927" s="1053"/>
      <c r="B927" s="1053"/>
      <c r="C927" s="1053"/>
      <c r="D927" s="1053"/>
      <c r="E927" s="1053"/>
      <c r="R927" s="1054"/>
      <c r="S927" s="1054"/>
      <c r="T927" s="1054"/>
      <c r="U927" s="1054"/>
      <c r="V927" s="1054"/>
      <c r="W927" s="1054"/>
      <c r="X927" s="1054"/>
      <c r="Y927" s="1054"/>
    </row>
    <row r="928" spans="1:25">
      <c r="A928" s="1053"/>
      <c r="B928" s="1053"/>
      <c r="C928" s="1053"/>
      <c r="D928" s="1053"/>
      <c r="E928" s="1053"/>
      <c r="R928" s="1054"/>
      <c r="S928" s="1054"/>
      <c r="T928" s="1054"/>
      <c r="U928" s="1054"/>
      <c r="V928" s="1054"/>
      <c r="W928" s="1054"/>
      <c r="X928" s="1054"/>
      <c r="Y928" s="1054"/>
    </row>
    <row r="929" spans="1:25">
      <c r="A929" s="1053"/>
      <c r="B929" s="1053"/>
      <c r="C929" s="1053"/>
      <c r="D929" s="1053"/>
      <c r="E929" s="1053"/>
      <c r="R929" s="1054"/>
      <c r="S929" s="1054"/>
      <c r="T929" s="1054"/>
      <c r="U929" s="1054"/>
      <c r="V929" s="1054"/>
      <c r="W929" s="1054"/>
      <c r="X929" s="1054"/>
      <c r="Y929" s="1054"/>
    </row>
    <row r="930" spans="1:25">
      <c r="A930" s="1053"/>
      <c r="B930" s="1053"/>
      <c r="C930" s="1053"/>
      <c r="D930" s="1053"/>
      <c r="E930" s="1053"/>
      <c r="R930" s="1054"/>
      <c r="S930" s="1054"/>
      <c r="T930" s="1054"/>
      <c r="U930" s="1054"/>
      <c r="V930" s="1054"/>
      <c r="W930" s="1054"/>
      <c r="X930" s="1054"/>
      <c r="Y930" s="1054"/>
    </row>
    <row r="931" spans="1:25">
      <c r="A931" s="1053"/>
      <c r="B931" s="1053"/>
      <c r="C931" s="1053"/>
      <c r="D931" s="1053"/>
      <c r="E931" s="1053"/>
      <c r="R931" s="1054"/>
      <c r="S931" s="1054"/>
      <c r="T931" s="1054"/>
      <c r="U931" s="1054"/>
      <c r="V931" s="1054"/>
      <c r="W931" s="1054"/>
      <c r="X931" s="1054"/>
      <c r="Y931" s="1054"/>
    </row>
    <row r="932" spans="1:25">
      <c r="A932" s="1053"/>
      <c r="B932" s="1053"/>
      <c r="C932" s="1053"/>
      <c r="D932" s="1053"/>
      <c r="E932" s="1053"/>
      <c r="R932" s="1054"/>
      <c r="S932" s="1054"/>
      <c r="T932" s="1054"/>
      <c r="U932" s="1054"/>
      <c r="V932" s="1054"/>
      <c r="W932" s="1054"/>
      <c r="X932" s="1054"/>
      <c r="Y932" s="1054"/>
    </row>
    <row r="933" spans="1:25">
      <c r="A933" s="1053"/>
      <c r="B933" s="1053"/>
      <c r="C933" s="1053"/>
      <c r="D933" s="1053"/>
      <c r="E933" s="1053"/>
      <c r="R933" s="1054"/>
      <c r="S933" s="1054"/>
      <c r="T933" s="1054"/>
      <c r="U933" s="1054"/>
      <c r="V933" s="1054"/>
      <c r="W933" s="1054"/>
      <c r="X933" s="1054"/>
      <c r="Y933" s="1054"/>
    </row>
    <row r="934" spans="1:25">
      <c r="A934" s="1053"/>
      <c r="B934" s="1053"/>
      <c r="C934" s="1053"/>
      <c r="D934" s="1053"/>
      <c r="E934" s="1053"/>
      <c r="R934" s="1054"/>
      <c r="S934" s="1054"/>
      <c r="T934" s="1054"/>
      <c r="U934" s="1054"/>
      <c r="V934" s="1054"/>
      <c r="W934" s="1054"/>
      <c r="X934" s="1054"/>
      <c r="Y934" s="1054"/>
    </row>
    <row r="935" spans="1:25">
      <c r="A935" s="1053"/>
      <c r="B935" s="1053"/>
      <c r="C935" s="1053"/>
      <c r="D935" s="1053"/>
      <c r="E935" s="1053"/>
      <c r="R935" s="1054"/>
      <c r="S935" s="1054"/>
      <c r="T935" s="1054"/>
      <c r="U935" s="1054"/>
      <c r="V935" s="1054"/>
      <c r="W935" s="1054"/>
      <c r="X935" s="1054"/>
      <c r="Y935" s="1054"/>
    </row>
    <row r="936" spans="1:25">
      <c r="A936" s="1053"/>
      <c r="B936" s="1053"/>
      <c r="C936" s="1053"/>
      <c r="D936" s="1053"/>
      <c r="E936" s="1053"/>
      <c r="R936" s="1054"/>
      <c r="S936" s="1054"/>
      <c r="T936" s="1054"/>
      <c r="U936" s="1054"/>
      <c r="V936" s="1054"/>
      <c r="W936" s="1054"/>
      <c r="X936" s="1054"/>
      <c r="Y936" s="1054"/>
    </row>
    <row r="937" spans="1:25">
      <c r="A937" s="1053"/>
      <c r="B937" s="1053"/>
      <c r="C937" s="1053"/>
      <c r="D937" s="1053"/>
      <c r="E937" s="1053"/>
      <c r="R937" s="1054"/>
      <c r="S937" s="1054"/>
      <c r="T937" s="1054"/>
      <c r="U937" s="1054"/>
      <c r="V937" s="1054"/>
      <c r="W937" s="1054"/>
      <c r="X937" s="1054"/>
      <c r="Y937" s="1054"/>
    </row>
    <row r="938" spans="1:25">
      <c r="A938" s="1053"/>
      <c r="B938" s="1053"/>
      <c r="C938" s="1053"/>
      <c r="D938" s="1053"/>
      <c r="E938" s="1053"/>
      <c r="R938" s="1054"/>
      <c r="S938" s="1054"/>
      <c r="T938" s="1054"/>
      <c r="U938" s="1054"/>
      <c r="V938" s="1054"/>
      <c r="W938" s="1054"/>
      <c r="X938" s="1054"/>
      <c r="Y938" s="1054"/>
    </row>
    <row r="939" spans="1:25">
      <c r="A939" s="1053"/>
      <c r="B939" s="1053"/>
      <c r="C939" s="1053"/>
      <c r="D939" s="1053"/>
      <c r="E939" s="1053"/>
      <c r="R939" s="1054"/>
      <c r="S939" s="1054"/>
      <c r="T939" s="1054"/>
      <c r="U939" s="1054"/>
      <c r="V939" s="1054"/>
      <c r="W939" s="1054"/>
      <c r="X939" s="1054"/>
      <c r="Y939" s="1054"/>
    </row>
    <row r="940" spans="1:25">
      <c r="A940" s="1053"/>
      <c r="B940" s="1053"/>
      <c r="C940" s="1053"/>
      <c r="D940" s="1053"/>
      <c r="E940" s="1053"/>
      <c r="R940" s="1054"/>
      <c r="S940" s="1054"/>
      <c r="T940" s="1054"/>
      <c r="U940" s="1054"/>
      <c r="V940" s="1054"/>
      <c r="W940" s="1054"/>
      <c r="X940" s="1054"/>
      <c r="Y940" s="1054"/>
    </row>
    <row r="941" spans="1:25">
      <c r="A941" s="1053"/>
      <c r="B941" s="1053"/>
      <c r="C941" s="1053"/>
      <c r="D941" s="1053"/>
      <c r="E941" s="1053"/>
      <c r="R941" s="1054"/>
      <c r="S941" s="1054"/>
      <c r="T941" s="1054"/>
      <c r="U941" s="1054"/>
      <c r="V941" s="1054"/>
      <c r="W941" s="1054"/>
      <c r="X941" s="1054"/>
      <c r="Y941" s="1054"/>
    </row>
    <row r="942" spans="1:25">
      <c r="A942" s="1053"/>
      <c r="B942" s="1053"/>
      <c r="C942" s="1053"/>
      <c r="D942" s="1053"/>
      <c r="E942" s="1053"/>
      <c r="R942" s="1054"/>
      <c r="S942" s="1054"/>
      <c r="T942" s="1054"/>
      <c r="U942" s="1054"/>
      <c r="V942" s="1054"/>
      <c r="W942" s="1054"/>
      <c r="X942" s="1054"/>
      <c r="Y942" s="1054"/>
    </row>
    <row r="943" spans="1:25">
      <c r="A943" s="1053"/>
      <c r="B943" s="1053"/>
      <c r="C943" s="1053"/>
      <c r="D943" s="1053"/>
      <c r="E943" s="1053"/>
      <c r="R943" s="1054"/>
      <c r="S943" s="1054"/>
      <c r="T943" s="1054"/>
      <c r="U943" s="1054"/>
      <c r="V943" s="1054"/>
      <c r="W943" s="1054"/>
      <c r="X943" s="1054"/>
      <c r="Y943" s="1054"/>
    </row>
    <row r="944" spans="1:25">
      <c r="A944" s="1053"/>
      <c r="B944" s="1053"/>
      <c r="C944" s="1053"/>
      <c r="D944" s="1053"/>
      <c r="E944" s="1053"/>
      <c r="R944" s="1054"/>
      <c r="S944" s="1054"/>
      <c r="T944" s="1054"/>
      <c r="U944" s="1054"/>
      <c r="V944" s="1054"/>
      <c r="W944" s="1054"/>
      <c r="X944" s="1054"/>
      <c r="Y944" s="1054"/>
    </row>
    <row r="945" spans="1:25">
      <c r="A945" s="1053"/>
      <c r="B945" s="1053"/>
      <c r="C945" s="1053"/>
      <c r="D945" s="1053"/>
      <c r="E945" s="1053"/>
      <c r="R945" s="1054"/>
      <c r="S945" s="1054"/>
      <c r="T945" s="1054"/>
      <c r="U945" s="1054"/>
      <c r="V945" s="1054"/>
      <c r="W945" s="1054"/>
      <c r="X945" s="1054"/>
      <c r="Y945" s="1054"/>
    </row>
    <row r="946" spans="1:25">
      <c r="A946" s="1053"/>
      <c r="B946" s="1053"/>
      <c r="C946" s="1053"/>
      <c r="D946" s="1053"/>
      <c r="E946" s="1053"/>
      <c r="R946" s="1054"/>
      <c r="S946" s="1054"/>
      <c r="T946" s="1054"/>
      <c r="U946" s="1054"/>
      <c r="V946" s="1054"/>
      <c r="W946" s="1054"/>
      <c r="X946" s="1054"/>
      <c r="Y946" s="1054"/>
    </row>
    <row r="947" spans="1:25">
      <c r="A947" s="1053"/>
      <c r="B947" s="1053"/>
      <c r="C947" s="1053"/>
      <c r="D947" s="1053"/>
      <c r="E947" s="1053"/>
      <c r="R947" s="1054"/>
      <c r="S947" s="1054"/>
      <c r="T947" s="1054"/>
      <c r="U947" s="1054"/>
      <c r="V947" s="1054"/>
      <c r="W947" s="1054"/>
      <c r="X947" s="1054"/>
      <c r="Y947" s="1054"/>
    </row>
    <row r="948" spans="1:25">
      <c r="A948" s="1053"/>
      <c r="B948" s="1053"/>
      <c r="C948" s="1053"/>
      <c r="D948" s="1053"/>
      <c r="E948" s="1053"/>
      <c r="R948" s="1054"/>
      <c r="S948" s="1054"/>
      <c r="T948" s="1054"/>
      <c r="U948" s="1054"/>
      <c r="V948" s="1054"/>
      <c r="W948" s="1054"/>
      <c r="X948" s="1054"/>
      <c r="Y948" s="1054"/>
    </row>
    <row r="949" spans="1:25">
      <c r="A949" s="1053"/>
      <c r="B949" s="1053"/>
      <c r="C949" s="1053"/>
      <c r="D949" s="1053"/>
      <c r="E949" s="1053"/>
      <c r="R949" s="1054"/>
      <c r="S949" s="1054"/>
      <c r="T949" s="1054"/>
      <c r="U949" s="1054"/>
      <c r="V949" s="1054"/>
      <c r="W949" s="1054"/>
      <c r="X949" s="1054"/>
      <c r="Y949" s="1054"/>
    </row>
    <row r="950" spans="1:25">
      <c r="A950" s="1053"/>
      <c r="B950" s="1053"/>
      <c r="C950" s="1053"/>
      <c r="D950" s="1053"/>
      <c r="E950" s="1053"/>
      <c r="R950" s="1054"/>
      <c r="S950" s="1054"/>
      <c r="T950" s="1054"/>
      <c r="U950" s="1054"/>
      <c r="V950" s="1054"/>
      <c r="W950" s="1054"/>
      <c r="X950" s="1054"/>
      <c r="Y950" s="1054"/>
    </row>
    <row r="951" spans="1:25">
      <c r="A951" s="1053"/>
      <c r="B951" s="1053"/>
      <c r="C951" s="1053"/>
      <c r="D951" s="1053"/>
      <c r="E951" s="1053"/>
      <c r="R951" s="1054"/>
      <c r="S951" s="1054"/>
      <c r="T951" s="1054"/>
      <c r="U951" s="1054"/>
      <c r="V951" s="1054"/>
      <c r="W951" s="1054"/>
      <c r="X951" s="1054"/>
      <c r="Y951" s="1054"/>
    </row>
    <row r="952" spans="1:25">
      <c r="A952" s="1053"/>
      <c r="B952" s="1053"/>
      <c r="C952" s="1053"/>
      <c r="D952" s="1053"/>
      <c r="E952" s="1053"/>
      <c r="R952" s="1054"/>
      <c r="S952" s="1054"/>
      <c r="T952" s="1054"/>
      <c r="U952" s="1054"/>
      <c r="V952" s="1054"/>
      <c r="W952" s="1054"/>
      <c r="X952" s="1054"/>
      <c r="Y952" s="1054"/>
    </row>
    <row r="953" spans="1:25">
      <c r="A953" s="1053"/>
      <c r="B953" s="1053"/>
      <c r="C953" s="1053"/>
      <c r="D953" s="1053"/>
      <c r="E953" s="1053"/>
      <c r="R953" s="1054"/>
      <c r="S953" s="1054"/>
      <c r="T953" s="1054"/>
      <c r="U953" s="1054"/>
      <c r="V953" s="1054"/>
      <c r="W953" s="1054"/>
      <c r="X953" s="1054"/>
      <c r="Y953" s="1054"/>
    </row>
    <row r="954" spans="1:25">
      <c r="A954" s="1053"/>
      <c r="B954" s="1053"/>
      <c r="C954" s="1053"/>
      <c r="D954" s="1053"/>
      <c r="E954" s="1053"/>
      <c r="R954" s="1054"/>
      <c r="S954" s="1054"/>
      <c r="T954" s="1054"/>
      <c r="U954" s="1054"/>
      <c r="V954" s="1054"/>
      <c r="W954" s="1054"/>
      <c r="X954" s="1054"/>
      <c r="Y954" s="1054"/>
    </row>
    <row r="955" spans="1:25">
      <c r="A955" s="1053"/>
      <c r="B955" s="1053"/>
      <c r="C955" s="1053"/>
      <c r="D955" s="1053"/>
      <c r="E955" s="1053"/>
      <c r="R955" s="1054"/>
      <c r="S955" s="1054"/>
      <c r="T955" s="1054"/>
      <c r="U955" s="1054"/>
      <c r="V955" s="1054"/>
      <c r="W955" s="1054"/>
      <c r="X955" s="1054"/>
      <c r="Y955" s="1054"/>
    </row>
    <row r="956" spans="1:25">
      <c r="A956" s="1053"/>
      <c r="B956" s="1053"/>
      <c r="C956" s="1053"/>
      <c r="D956" s="1053"/>
      <c r="E956" s="1053"/>
      <c r="R956" s="1054"/>
      <c r="S956" s="1054"/>
      <c r="T956" s="1054"/>
      <c r="U956" s="1054"/>
      <c r="V956" s="1054"/>
      <c r="W956" s="1054"/>
      <c r="X956" s="1054"/>
      <c r="Y956" s="1054"/>
    </row>
    <row r="957" spans="1:25">
      <c r="A957" s="1053"/>
      <c r="B957" s="1053"/>
      <c r="C957" s="1053"/>
      <c r="D957" s="1053"/>
      <c r="E957" s="1053"/>
      <c r="R957" s="1054"/>
      <c r="S957" s="1054"/>
      <c r="T957" s="1054"/>
      <c r="U957" s="1054"/>
      <c r="V957" s="1054"/>
      <c r="W957" s="1054"/>
      <c r="X957" s="1054"/>
      <c r="Y957" s="1054"/>
    </row>
    <row r="958" spans="1:25">
      <c r="A958" s="1053"/>
      <c r="B958" s="1053"/>
      <c r="C958" s="1053"/>
      <c r="D958" s="1053"/>
      <c r="E958" s="1053"/>
      <c r="R958" s="1054"/>
      <c r="S958" s="1054"/>
      <c r="T958" s="1054"/>
      <c r="U958" s="1054"/>
      <c r="V958" s="1054"/>
      <c r="W958" s="1054"/>
      <c r="X958" s="1054"/>
      <c r="Y958" s="1054"/>
    </row>
    <row r="959" spans="1:25">
      <c r="A959" s="1053"/>
      <c r="B959" s="1053"/>
      <c r="C959" s="1053"/>
      <c r="D959" s="1053"/>
      <c r="E959" s="1053"/>
      <c r="R959" s="1054"/>
      <c r="S959" s="1054"/>
      <c r="T959" s="1054"/>
      <c r="U959" s="1054"/>
      <c r="V959" s="1054"/>
      <c r="W959" s="1054"/>
      <c r="X959" s="1054"/>
      <c r="Y959" s="1054"/>
    </row>
    <row r="960" spans="1:25">
      <c r="A960" s="1053"/>
      <c r="B960" s="1053"/>
      <c r="C960" s="1053"/>
      <c r="D960" s="1053"/>
      <c r="E960" s="1053"/>
      <c r="R960" s="1054"/>
      <c r="S960" s="1054"/>
      <c r="T960" s="1054"/>
      <c r="U960" s="1054"/>
      <c r="V960" s="1054"/>
      <c r="W960" s="1054"/>
      <c r="X960" s="1054"/>
      <c r="Y960" s="1054"/>
    </row>
    <row r="961" spans="1:25">
      <c r="A961" s="1053"/>
      <c r="B961" s="1053"/>
      <c r="C961" s="1053"/>
      <c r="D961" s="1053"/>
      <c r="E961" s="1053"/>
      <c r="R961" s="1054"/>
      <c r="S961" s="1054"/>
      <c r="T961" s="1054"/>
      <c r="U961" s="1054"/>
      <c r="V961" s="1054"/>
      <c r="W961" s="1054"/>
      <c r="X961" s="1054"/>
      <c r="Y961" s="1054"/>
    </row>
    <row r="962" spans="1:25">
      <c r="A962" s="1053"/>
      <c r="B962" s="1053"/>
      <c r="C962" s="1053"/>
      <c r="D962" s="1053"/>
      <c r="E962" s="1053"/>
      <c r="R962" s="1054"/>
      <c r="S962" s="1054"/>
      <c r="T962" s="1054"/>
      <c r="U962" s="1054"/>
      <c r="V962" s="1054"/>
      <c r="W962" s="1054"/>
      <c r="X962" s="1054"/>
      <c r="Y962" s="1054"/>
    </row>
    <row r="963" spans="1:25">
      <c r="A963" s="1053"/>
      <c r="B963" s="1053"/>
      <c r="C963" s="1053"/>
      <c r="D963" s="1053"/>
      <c r="E963" s="1053"/>
      <c r="R963" s="1054"/>
      <c r="S963" s="1054"/>
      <c r="T963" s="1054"/>
      <c r="U963" s="1054"/>
      <c r="V963" s="1054"/>
      <c r="W963" s="1054"/>
      <c r="X963" s="1054"/>
      <c r="Y963" s="1054"/>
    </row>
    <row r="964" spans="1:25">
      <c r="A964" s="1053"/>
      <c r="B964" s="1053"/>
      <c r="C964" s="1053"/>
      <c r="D964" s="1053"/>
      <c r="E964" s="1053"/>
      <c r="R964" s="1054"/>
      <c r="S964" s="1054"/>
      <c r="T964" s="1054"/>
      <c r="U964" s="1054"/>
      <c r="V964" s="1054"/>
      <c r="W964" s="1054"/>
      <c r="X964" s="1054"/>
      <c r="Y964" s="1054"/>
    </row>
    <row r="965" spans="1:25">
      <c r="A965" s="1053"/>
      <c r="B965" s="1053"/>
      <c r="C965" s="1053"/>
      <c r="D965" s="1053"/>
      <c r="E965" s="1053"/>
      <c r="R965" s="1054"/>
      <c r="S965" s="1054"/>
      <c r="T965" s="1054"/>
      <c r="U965" s="1054"/>
      <c r="V965" s="1054"/>
      <c r="W965" s="1054"/>
      <c r="X965" s="1054"/>
      <c r="Y965" s="1054"/>
    </row>
    <row r="966" spans="1:25">
      <c r="A966" s="1053"/>
      <c r="B966" s="1053"/>
      <c r="C966" s="1053"/>
      <c r="D966" s="1053"/>
      <c r="E966" s="1053"/>
      <c r="R966" s="1054"/>
      <c r="S966" s="1054"/>
      <c r="T966" s="1054"/>
      <c r="U966" s="1054"/>
      <c r="V966" s="1054"/>
      <c r="W966" s="1054"/>
      <c r="X966" s="1054"/>
      <c r="Y966" s="1054"/>
    </row>
    <row r="967" spans="1:25">
      <c r="A967" s="1053"/>
      <c r="B967" s="1053"/>
      <c r="C967" s="1053"/>
      <c r="D967" s="1053"/>
      <c r="E967" s="1053"/>
      <c r="R967" s="1054"/>
      <c r="S967" s="1054"/>
      <c r="T967" s="1054"/>
      <c r="U967" s="1054"/>
      <c r="V967" s="1054"/>
      <c r="W967" s="1054"/>
      <c r="X967" s="1054"/>
      <c r="Y967" s="1054"/>
    </row>
    <row r="968" spans="1:25">
      <c r="A968" s="1053"/>
      <c r="B968" s="1053"/>
      <c r="C968" s="1053"/>
      <c r="D968" s="1053"/>
      <c r="E968" s="1053"/>
      <c r="R968" s="1054"/>
      <c r="S968" s="1054"/>
      <c r="T968" s="1054"/>
      <c r="U968" s="1054"/>
      <c r="V968" s="1054"/>
      <c r="W968" s="1054"/>
      <c r="X968" s="1054"/>
      <c r="Y968" s="1054"/>
    </row>
    <row r="969" spans="1:25">
      <c r="A969" s="1053"/>
      <c r="B969" s="1053"/>
      <c r="C969" s="1053"/>
      <c r="D969" s="1053"/>
      <c r="E969" s="1053"/>
      <c r="R969" s="1054"/>
      <c r="S969" s="1054"/>
      <c r="T969" s="1054"/>
      <c r="U969" s="1054"/>
      <c r="V969" s="1054"/>
      <c r="W969" s="1054"/>
      <c r="X969" s="1054"/>
      <c r="Y969" s="1054"/>
    </row>
    <row r="970" spans="1:25">
      <c r="A970" s="1053"/>
      <c r="B970" s="1053"/>
      <c r="C970" s="1053"/>
      <c r="D970" s="1053"/>
      <c r="E970" s="1053"/>
      <c r="R970" s="1054"/>
      <c r="S970" s="1054"/>
      <c r="T970" s="1054"/>
      <c r="U970" s="1054"/>
      <c r="V970" s="1054"/>
      <c r="W970" s="1054"/>
      <c r="X970" s="1054"/>
      <c r="Y970" s="1054"/>
    </row>
    <row r="971" spans="1:25">
      <c r="A971" s="1053"/>
      <c r="B971" s="1053"/>
      <c r="C971" s="1053"/>
      <c r="D971" s="1053"/>
      <c r="E971" s="1053"/>
      <c r="R971" s="1054"/>
      <c r="S971" s="1054"/>
      <c r="T971" s="1054"/>
      <c r="U971" s="1054"/>
      <c r="V971" s="1054"/>
      <c r="W971" s="1054"/>
      <c r="X971" s="1054"/>
      <c r="Y971" s="1054"/>
    </row>
    <row r="972" spans="1:25">
      <c r="A972" s="1053"/>
      <c r="B972" s="1053"/>
      <c r="C972" s="1053"/>
      <c r="D972" s="1053"/>
      <c r="E972" s="1053"/>
      <c r="R972" s="1054"/>
      <c r="S972" s="1054"/>
      <c r="T972" s="1054"/>
      <c r="U972" s="1054"/>
      <c r="V972" s="1054"/>
      <c r="W972" s="1054"/>
      <c r="X972" s="1054"/>
      <c r="Y972" s="1054"/>
    </row>
    <row r="973" spans="1:25">
      <c r="A973" s="1053"/>
      <c r="B973" s="1053"/>
      <c r="C973" s="1053"/>
      <c r="D973" s="1053"/>
      <c r="E973" s="1053"/>
      <c r="R973" s="1054"/>
      <c r="S973" s="1054"/>
      <c r="T973" s="1054"/>
      <c r="U973" s="1054"/>
      <c r="V973" s="1054"/>
      <c r="W973" s="1054"/>
      <c r="X973" s="1054"/>
      <c r="Y973" s="1054"/>
    </row>
    <row r="974" spans="1:25">
      <c r="A974" s="1053"/>
      <c r="B974" s="1053"/>
      <c r="C974" s="1053"/>
      <c r="D974" s="1053"/>
      <c r="E974" s="1053"/>
      <c r="R974" s="1054"/>
      <c r="S974" s="1054"/>
      <c r="T974" s="1054"/>
      <c r="U974" s="1054"/>
      <c r="V974" s="1054"/>
      <c r="W974" s="1054"/>
      <c r="X974" s="1054"/>
      <c r="Y974" s="1054"/>
    </row>
    <row r="975" spans="1:25">
      <c r="A975" s="1053"/>
      <c r="B975" s="1053"/>
      <c r="C975" s="1053"/>
      <c r="D975" s="1053"/>
      <c r="E975" s="1053"/>
      <c r="R975" s="1054"/>
      <c r="S975" s="1054"/>
      <c r="T975" s="1054"/>
      <c r="U975" s="1054"/>
      <c r="V975" s="1054"/>
      <c r="W975" s="1054"/>
      <c r="X975" s="1054"/>
      <c r="Y975" s="1054"/>
    </row>
    <row r="976" spans="1:25">
      <c r="A976" s="1053"/>
      <c r="B976" s="1053"/>
      <c r="C976" s="1053"/>
      <c r="D976" s="1053"/>
      <c r="E976" s="1053"/>
      <c r="R976" s="1054"/>
      <c r="S976" s="1054"/>
      <c r="T976" s="1054"/>
      <c r="U976" s="1054"/>
      <c r="V976" s="1054"/>
      <c r="W976" s="1054"/>
      <c r="X976" s="1054"/>
      <c r="Y976" s="1054"/>
    </row>
    <row r="977" spans="1:25">
      <c r="A977" s="1053"/>
      <c r="B977" s="1053"/>
      <c r="C977" s="1053"/>
      <c r="D977" s="1053"/>
      <c r="E977" s="1053"/>
      <c r="R977" s="1054"/>
      <c r="S977" s="1054"/>
      <c r="T977" s="1054"/>
      <c r="U977" s="1054"/>
      <c r="V977" s="1054"/>
      <c r="W977" s="1054"/>
      <c r="X977" s="1054"/>
      <c r="Y977" s="1054"/>
    </row>
    <row r="978" spans="1:25">
      <c r="A978" s="1053"/>
      <c r="B978" s="1053"/>
      <c r="C978" s="1053"/>
      <c r="D978" s="1053"/>
      <c r="E978" s="1053"/>
      <c r="R978" s="1054"/>
      <c r="S978" s="1054"/>
      <c r="T978" s="1054"/>
      <c r="U978" s="1054"/>
      <c r="V978" s="1054"/>
      <c r="W978" s="1054"/>
      <c r="X978" s="1054"/>
      <c r="Y978" s="1054"/>
    </row>
    <row r="979" spans="1:25">
      <c r="A979" s="1053"/>
      <c r="B979" s="1053"/>
      <c r="C979" s="1053"/>
      <c r="D979" s="1053"/>
      <c r="E979" s="1053"/>
      <c r="R979" s="1054"/>
      <c r="S979" s="1054"/>
      <c r="T979" s="1054"/>
      <c r="U979" s="1054"/>
      <c r="V979" s="1054"/>
      <c r="W979" s="1054"/>
      <c r="X979" s="1054"/>
      <c r="Y979" s="1054"/>
    </row>
    <row r="980" spans="1:25">
      <c r="A980" s="1053"/>
      <c r="B980" s="1053"/>
      <c r="C980" s="1053"/>
      <c r="D980" s="1053"/>
      <c r="E980" s="1053"/>
      <c r="R980" s="1054"/>
      <c r="S980" s="1054"/>
      <c r="T980" s="1054"/>
      <c r="U980" s="1054"/>
      <c r="V980" s="1054"/>
      <c r="W980" s="1054"/>
      <c r="X980" s="1054"/>
      <c r="Y980" s="1054"/>
    </row>
    <row r="981" spans="1:25">
      <c r="A981" s="1053"/>
      <c r="B981" s="1053"/>
      <c r="C981" s="1053"/>
      <c r="D981" s="1053"/>
      <c r="E981" s="1053"/>
      <c r="R981" s="1054"/>
      <c r="S981" s="1054"/>
      <c r="T981" s="1054"/>
      <c r="U981" s="1054"/>
      <c r="V981" s="1054"/>
      <c r="W981" s="1054"/>
      <c r="X981" s="1054"/>
      <c r="Y981" s="1054"/>
    </row>
    <row r="982" spans="1:25">
      <c r="A982" s="1053"/>
      <c r="B982" s="1053"/>
      <c r="C982" s="1053"/>
      <c r="D982" s="1053"/>
      <c r="E982" s="1053"/>
      <c r="R982" s="1054"/>
      <c r="S982" s="1054"/>
      <c r="T982" s="1054"/>
      <c r="U982" s="1054"/>
      <c r="V982" s="1054"/>
      <c r="W982" s="1054"/>
      <c r="X982" s="1054"/>
      <c r="Y982" s="1054"/>
    </row>
    <row r="983" spans="1:25">
      <c r="A983" s="1053"/>
      <c r="B983" s="1053"/>
      <c r="C983" s="1053"/>
      <c r="D983" s="1053"/>
      <c r="E983" s="1053"/>
      <c r="R983" s="1054"/>
      <c r="S983" s="1054"/>
      <c r="T983" s="1054"/>
      <c r="U983" s="1054"/>
      <c r="V983" s="1054"/>
      <c r="W983" s="1054"/>
      <c r="X983" s="1054"/>
      <c r="Y983" s="1054"/>
    </row>
    <row r="984" spans="1:25">
      <c r="A984" s="1053"/>
      <c r="B984" s="1053"/>
      <c r="C984" s="1053"/>
      <c r="D984" s="1053"/>
      <c r="E984" s="1053"/>
      <c r="R984" s="1054"/>
      <c r="S984" s="1054"/>
      <c r="T984" s="1054"/>
      <c r="U984" s="1054"/>
      <c r="V984" s="1054"/>
      <c r="W984" s="1054"/>
      <c r="X984" s="1054"/>
      <c r="Y984" s="1054"/>
    </row>
    <row r="985" spans="1:25">
      <c r="A985" s="1053"/>
      <c r="B985" s="1053"/>
      <c r="C985" s="1053"/>
      <c r="D985" s="1053"/>
      <c r="E985" s="1053"/>
      <c r="R985" s="1054"/>
      <c r="S985" s="1054"/>
      <c r="T985" s="1054"/>
      <c r="U985" s="1054"/>
      <c r="V985" s="1054"/>
      <c r="W985" s="1054"/>
      <c r="X985" s="1054"/>
      <c r="Y985" s="1054"/>
    </row>
    <row r="986" spans="1:25">
      <c r="A986" s="1053"/>
      <c r="B986" s="1053"/>
      <c r="C986" s="1053"/>
      <c r="D986" s="1053"/>
      <c r="E986" s="1053"/>
      <c r="R986" s="1054"/>
      <c r="S986" s="1054"/>
      <c r="T986" s="1054"/>
      <c r="U986" s="1054"/>
      <c r="V986" s="1054"/>
      <c r="W986" s="1054"/>
      <c r="X986" s="1054"/>
      <c r="Y986" s="1054"/>
    </row>
    <row r="987" spans="1:25">
      <c r="A987" s="1053"/>
      <c r="B987" s="1053"/>
      <c r="C987" s="1053"/>
      <c r="D987" s="1053"/>
      <c r="E987" s="1053"/>
      <c r="R987" s="1054"/>
      <c r="S987" s="1054"/>
      <c r="T987" s="1054"/>
      <c r="U987" s="1054"/>
      <c r="V987" s="1054"/>
      <c r="W987" s="1054"/>
      <c r="X987" s="1054"/>
      <c r="Y987" s="1054"/>
    </row>
    <row r="988" spans="1:25">
      <c r="A988" s="1053"/>
      <c r="B988" s="1053"/>
      <c r="C988" s="1053"/>
      <c r="D988" s="1053"/>
      <c r="E988" s="1053"/>
      <c r="R988" s="1054"/>
      <c r="S988" s="1054"/>
      <c r="T988" s="1054"/>
      <c r="U988" s="1054"/>
      <c r="V988" s="1054"/>
      <c r="W988" s="1054"/>
      <c r="X988" s="1054"/>
      <c r="Y988" s="1054"/>
    </row>
    <row r="989" spans="1:25">
      <c r="A989" s="1053"/>
      <c r="B989" s="1053"/>
      <c r="C989" s="1053"/>
      <c r="D989" s="1053"/>
      <c r="E989" s="1053"/>
      <c r="R989" s="1054"/>
      <c r="S989" s="1054"/>
      <c r="T989" s="1054"/>
      <c r="U989" s="1054"/>
      <c r="V989" s="1054"/>
      <c r="W989" s="1054"/>
      <c r="X989" s="1054"/>
      <c r="Y989" s="1054"/>
    </row>
    <row r="990" spans="1:25">
      <c r="A990" s="1053"/>
      <c r="B990" s="1053"/>
      <c r="C990" s="1053"/>
      <c r="D990" s="1053"/>
      <c r="E990" s="1053"/>
      <c r="R990" s="1054"/>
      <c r="S990" s="1054"/>
      <c r="T990" s="1054"/>
      <c r="U990" s="1054"/>
      <c r="V990" s="1054"/>
      <c r="W990" s="1054"/>
      <c r="X990" s="1054"/>
      <c r="Y990" s="1054"/>
    </row>
    <row r="991" spans="1:25">
      <c r="A991" s="1053"/>
      <c r="B991" s="1053"/>
      <c r="C991" s="1053"/>
      <c r="D991" s="1053"/>
      <c r="E991" s="1053"/>
      <c r="R991" s="1054"/>
      <c r="S991" s="1054"/>
      <c r="T991" s="1054"/>
      <c r="U991" s="1054"/>
      <c r="V991" s="1054"/>
      <c r="W991" s="1054"/>
      <c r="X991" s="1054"/>
      <c r="Y991" s="1054"/>
    </row>
    <row r="992" spans="1:25">
      <c r="A992" s="1053"/>
      <c r="B992" s="1053"/>
      <c r="C992" s="1053"/>
      <c r="D992" s="1053"/>
      <c r="E992" s="1053"/>
      <c r="R992" s="1054"/>
      <c r="S992" s="1054"/>
      <c r="T992" s="1054"/>
      <c r="U992" s="1054"/>
      <c r="V992" s="1054"/>
      <c r="W992" s="1054"/>
      <c r="X992" s="1054"/>
      <c r="Y992" s="1054"/>
    </row>
    <row r="993" spans="1:25">
      <c r="A993" s="1053"/>
      <c r="B993" s="1053"/>
      <c r="C993" s="1053"/>
      <c r="D993" s="1053"/>
      <c r="E993" s="1053"/>
      <c r="R993" s="1054"/>
      <c r="S993" s="1054"/>
      <c r="T993" s="1054"/>
      <c r="U993" s="1054"/>
      <c r="V993" s="1054"/>
      <c r="W993" s="1054"/>
      <c r="X993" s="1054"/>
      <c r="Y993" s="1054"/>
    </row>
    <row r="994" spans="1:25">
      <c r="A994" s="1053"/>
      <c r="B994" s="1053"/>
      <c r="C994" s="1053"/>
      <c r="D994" s="1053"/>
      <c r="E994" s="1053"/>
      <c r="R994" s="1054"/>
      <c r="S994" s="1054"/>
      <c r="T994" s="1054"/>
      <c r="U994" s="1054"/>
      <c r="V994" s="1054"/>
      <c r="W994" s="1054"/>
      <c r="X994" s="1054"/>
      <c r="Y994" s="1054"/>
    </row>
    <row r="995" spans="1:25">
      <c r="A995" s="1053"/>
      <c r="B995" s="1053"/>
      <c r="C995" s="1053"/>
      <c r="D995" s="1053"/>
      <c r="E995" s="1053"/>
      <c r="R995" s="1054"/>
      <c r="S995" s="1054"/>
      <c r="T995" s="1054"/>
      <c r="U995" s="1054"/>
      <c r="V995" s="1054"/>
      <c r="W995" s="1054"/>
      <c r="X995" s="1054"/>
      <c r="Y995" s="1054"/>
    </row>
    <row r="996" spans="1:25">
      <c r="A996" s="1053"/>
      <c r="B996" s="1053"/>
      <c r="C996" s="1053"/>
      <c r="D996" s="1053"/>
      <c r="E996" s="1053"/>
      <c r="R996" s="1054"/>
      <c r="S996" s="1054"/>
      <c r="T996" s="1054"/>
      <c r="U996" s="1054"/>
      <c r="V996" s="1054"/>
      <c r="W996" s="1054"/>
      <c r="X996" s="1054"/>
      <c r="Y996" s="1054"/>
    </row>
    <row r="997" spans="1:25">
      <c r="A997" s="1053"/>
      <c r="B997" s="1053"/>
      <c r="C997" s="1053"/>
      <c r="D997" s="1053"/>
      <c r="E997" s="1053"/>
      <c r="R997" s="1054"/>
      <c r="S997" s="1054"/>
      <c r="T997" s="1054"/>
      <c r="U997" s="1054"/>
      <c r="V997" s="1054"/>
      <c r="W997" s="1054"/>
      <c r="X997" s="1054"/>
      <c r="Y997" s="1054"/>
    </row>
    <row r="998" spans="1:25">
      <c r="A998" s="1053"/>
      <c r="B998" s="1053"/>
      <c r="C998" s="1053"/>
      <c r="D998" s="1053"/>
      <c r="E998" s="1053"/>
      <c r="R998" s="1054"/>
      <c r="S998" s="1054"/>
      <c r="T998" s="1054"/>
      <c r="U998" s="1054"/>
      <c r="V998" s="1054"/>
      <c r="W998" s="1054"/>
      <c r="X998" s="1054"/>
      <c r="Y998" s="1054"/>
    </row>
    <row r="999" spans="1:25">
      <c r="A999" s="1053"/>
      <c r="B999" s="1053"/>
      <c r="C999" s="1053"/>
      <c r="D999" s="1053"/>
      <c r="E999" s="1053"/>
      <c r="R999" s="1054"/>
      <c r="S999" s="1054"/>
      <c r="T999" s="1054"/>
      <c r="U999" s="1054"/>
      <c r="V999" s="1054"/>
      <c r="W999" s="1054"/>
      <c r="X999" s="1054"/>
      <c r="Y999" s="1054"/>
    </row>
    <row r="1000" spans="1:25">
      <c r="A1000" s="1053"/>
      <c r="B1000" s="1053"/>
      <c r="C1000" s="1053"/>
      <c r="D1000" s="1053"/>
      <c r="E1000" s="1053"/>
      <c r="R1000" s="1054"/>
      <c r="S1000" s="1054"/>
      <c r="T1000" s="1054"/>
      <c r="U1000" s="1054"/>
      <c r="V1000" s="1054"/>
      <c r="W1000" s="1054"/>
      <c r="X1000" s="1054"/>
      <c r="Y1000" s="1054"/>
    </row>
    <row r="1001" spans="1:25">
      <c r="A1001" s="1053"/>
      <c r="B1001" s="1053"/>
      <c r="C1001" s="1053"/>
      <c r="D1001" s="1053"/>
      <c r="E1001" s="1053"/>
      <c r="R1001" s="1054"/>
      <c r="S1001" s="1054"/>
      <c r="T1001" s="1054"/>
      <c r="U1001" s="1054"/>
      <c r="V1001" s="1054"/>
      <c r="W1001" s="1054"/>
      <c r="X1001" s="1054"/>
      <c r="Y1001" s="1054"/>
    </row>
    <row r="1002" spans="1:25">
      <c r="A1002" s="1053"/>
      <c r="B1002" s="1053"/>
      <c r="C1002" s="1053"/>
      <c r="D1002" s="1053"/>
      <c r="E1002" s="1053"/>
      <c r="R1002" s="1054"/>
      <c r="S1002" s="1054"/>
      <c r="T1002" s="1054"/>
      <c r="U1002" s="1054"/>
      <c r="V1002" s="1054"/>
      <c r="W1002" s="1054"/>
      <c r="X1002" s="1054"/>
      <c r="Y1002" s="1054"/>
    </row>
    <row r="1003" spans="1:25">
      <c r="A1003" s="1053"/>
      <c r="B1003" s="1053"/>
      <c r="C1003" s="1053"/>
      <c r="D1003" s="1053"/>
      <c r="E1003" s="1053"/>
      <c r="R1003" s="1054"/>
      <c r="S1003" s="1054"/>
      <c r="T1003" s="1054"/>
      <c r="U1003" s="1054"/>
      <c r="V1003" s="1054"/>
      <c r="W1003" s="1054"/>
      <c r="X1003" s="1054"/>
      <c r="Y1003" s="1054"/>
    </row>
    <row r="1004" spans="1:25">
      <c r="A1004" s="1053"/>
      <c r="B1004" s="1053"/>
      <c r="C1004" s="1053"/>
      <c r="D1004" s="1053"/>
      <c r="E1004" s="1053"/>
      <c r="R1004" s="1054"/>
      <c r="S1004" s="1054"/>
      <c r="T1004" s="1054"/>
      <c r="U1004" s="1054"/>
      <c r="V1004" s="1054"/>
      <c r="W1004" s="1054"/>
      <c r="X1004" s="1054"/>
      <c r="Y1004" s="1054"/>
    </row>
    <row r="1005" spans="1:25">
      <c r="A1005" s="1053"/>
      <c r="B1005" s="1053"/>
      <c r="C1005" s="1053"/>
      <c r="D1005" s="1053"/>
      <c r="E1005" s="1053"/>
      <c r="R1005" s="1054"/>
      <c r="S1005" s="1054"/>
      <c r="T1005" s="1054"/>
      <c r="U1005" s="1054"/>
      <c r="V1005" s="1054"/>
      <c r="W1005" s="1054"/>
      <c r="X1005" s="1054"/>
      <c r="Y1005" s="1054"/>
    </row>
    <row r="1006" spans="1:25">
      <c r="A1006" s="1053"/>
      <c r="B1006" s="1053"/>
      <c r="C1006" s="1053"/>
      <c r="D1006" s="1053"/>
      <c r="E1006" s="1053"/>
      <c r="R1006" s="1054"/>
      <c r="S1006" s="1054"/>
      <c r="T1006" s="1054"/>
      <c r="U1006" s="1054"/>
      <c r="V1006" s="1054"/>
      <c r="W1006" s="1054"/>
      <c r="X1006" s="1054"/>
      <c r="Y1006" s="1054"/>
    </row>
    <row r="1007" spans="1:25">
      <c r="A1007" s="1053"/>
      <c r="B1007" s="1053"/>
      <c r="C1007" s="1053"/>
      <c r="D1007" s="1053"/>
      <c r="E1007" s="1053"/>
      <c r="R1007" s="1054"/>
      <c r="S1007" s="1054"/>
      <c r="T1007" s="1054"/>
      <c r="U1007" s="1054"/>
      <c r="V1007" s="1054"/>
      <c r="W1007" s="1054"/>
      <c r="X1007" s="1054"/>
      <c r="Y1007" s="1054"/>
    </row>
    <row r="1008" spans="1:25">
      <c r="A1008" s="1053"/>
      <c r="B1008" s="1053"/>
      <c r="C1008" s="1053"/>
      <c r="D1008" s="1053"/>
      <c r="E1008" s="1053"/>
      <c r="R1008" s="1054"/>
      <c r="S1008" s="1054"/>
      <c r="T1008" s="1054"/>
      <c r="U1008" s="1054"/>
      <c r="V1008" s="1054"/>
      <c r="W1008" s="1054"/>
      <c r="X1008" s="1054"/>
      <c r="Y1008" s="1054"/>
    </row>
    <row r="1009" spans="1:25">
      <c r="A1009" s="1053"/>
      <c r="B1009" s="1053"/>
      <c r="C1009" s="1053"/>
      <c r="D1009" s="1053"/>
      <c r="E1009" s="1053"/>
      <c r="R1009" s="1054"/>
      <c r="S1009" s="1054"/>
      <c r="T1009" s="1054"/>
      <c r="U1009" s="1054"/>
      <c r="V1009" s="1054"/>
      <c r="W1009" s="1054"/>
      <c r="X1009" s="1054"/>
      <c r="Y1009" s="1054"/>
    </row>
    <row r="1010" spans="1:25">
      <c r="A1010" s="1053"/>
      <c r="B1010" s="1053"/>
      <c r="C1010" s="1053"/>
      <c r="D1010" s="1053"/>
      <c r="E1010" s="1053"/>
      <c r="R1010" s="1054"/>
      <c r="S1010" s="1054"/>
      <c r="T1010" s="1054"/>
      <c r="U1010" s="1054"/>
      <c r="V1010" s="1054"/>
      <c r="W1010" s="1054"/>
      <c r="X1010" s="1054"/>
      <c r="Y1010" s="1054"/>
    </row>
    <row r="1011" spans="1:25">
      <c r="A1011" s="1053"/>
      <c r="B1011" s="1053"/>
      <c r="C1011" s="1053"/>
      <c r="D1011" s="1053"/>
      <c r="E1011" s="1053"/>
      <c r="R1011" s="1054"/>
      <c r="S1011" s="1054"/>
      <c r="T1011" s="1054"/>
      <c r="U1011" s="1054"/>
      <c r="V1011" s="1054"/>
      <c r="W1011" s="1054"/>
      <c r="X1011" s="1054"/>
      <c r="Y1011" s="1054"/>
    </row>
    <row r="1012" spans="1:25">
      <c r="A1012" s="1053"/>
      <c r="B1012" s="1053"/>
      <c r="C1012" s="1053"/>
      <c r="D1012" s="1053"/>
      <c r="E1012" s="1053"/>
      <c r="R1012" s="1054"/>
      <c r="S1012" s="1054"/>
      <c r="T1012" s="1054"/>
      <c r="U1012" s="1054"/>
      <c r="V1012" s="1054"/>
      <c r="W1012" s="1054"/>
      <c r="X1012" s="1054"/>
      <c r="Y1012" s="1054"/>
    </row>
    <row r="1013" spans="1:25">
      <c r="A1013" s="1053"/>
      <c r="B1013" s="1053"/>
      <c r="C1013" s="1053"/>
      <c r="D1013" s="1053"/>
      <c r="E1013" s="1053"/>
      <c r="R1013" s="1054"/>
      <c r="S1013" s="1054"/>
      <c r="T1013" s="1054"/>
      <c r="U1013" s="1054"/>
      <c r="V1013" s="1054"/>
      <c r="W1013" s="1054"/>
      <c r="X1013" s="1054"/>
      <c r="Y1013" s="1054"/>
    </row>
    <row r="1014" spans="1:25">
      <c r="A1014" s="1053"/>
      <c r="B1014" s="1053"/>
      <c r="C1014" s="1053"/>
      <c r="D1014" s="1053"/>
      <c r="E1014" s="1053"/>
      <c r="R1014" s="1054"/>
      <c r="S1014" s="1054"/>
      <c r="T1014" s="1054"/>
      <c r="U1014" s="1054"/>
      <c r="V1014" s="1054"/>
      <c r="W1014" s="1054"/>
      <c r="X1014" s="1054"/>
      <c r="Y1014" s="1054"/>
    </row>
    <row r="1015" spans="1:25">
      <c r="A1015" s="1053"/>
      <c r="B1015" s="1053"/>
      <c r="C1015" s="1053"/>
      <c r="D1015" s="1053"/>
      <c r="E1015" s="1053"/>
      <c r="R1015" s="1054"/>
      <c r="S1015" s="1054"/>
      <c r="T1015" s="1054"/>
      <c r="U1015" s="1054"/>
      <c r="V1015" s="1054"/>
      <c r="W1015" s="1054"/>
      <c r="X1015" s="1054"/>
      <c r="Y1015" s="1054"/>
    </row>
    <row r="1016" spans="1:25">
      <c r="A1016" s="1053"/>
      <c r="B1016" s="1053"/>
      <c r="C1016" s="1053"/>
      <c r="D1016" s="1053"/>
      <c r="E1016" s="1053"/>
      <c r="R1016" s="1054"/>
      <c r="S1016" s="1054"/>
      <c r="T1016" s="1054"/>
      <c r="U1016" s="1054"/>
      <c r="V1016" s="1054"/>
      <c r="W1016" s="1054"/>
      <c r="X1016" s="1054"/>
      <c r="Y1016" s="1054"/>
    </row>
    <row r="1017" spans="1:25">
      <c r="A1017" s="1053"/>
      <c r="B1017" s="1053"/>
      <c r="C1017" s="1053"/>
      <c r="D1017" s="1053"/>
      <c r="E1017" s="1053"/>
      <c r="R1017" s="1054"/>
      <c r="S1017" s="1054"/>
      <c r="T1017" s="1054"/>
      <c r="U1017" s="1054"/>
      <c r="V1017" s="1054"/>
      <c r="W1017" s="1054"/>
      <c r="X1017" s="1054"/>
      <c r="Y1017" s="1054"/>
    </row>
    <row r="1018" spans="1:25">
      <c r="A1018" s="1053"/>
      <c r="B1018" s="1053"/>
      <c r="C1018" s="1053"/>
      <c r="D1018" s="1053"/>
      <c r="E1018" s="1053"/>
      <c r="R1018" s="1054"/>
      <c r="S1018" s="1054"/>
      <c r="T1018" s="1054"/>
      <c r="U1018" s="1054"/>
      <c r="V1018" s="1054"/>
      <c r="W1018" s="1054"/>
      <c r="X1018" s="1054"/>
      <c r="Y1018" s="1054"/>
    </row>
    <row r="1019" spans="1:25">
      <c r="A1019" s="1053"/>
      <c r="B1019" s="1053"/>
      <c r="C1019" s="1053"/>
      <c r="D1019" s="1053"/>
      <c r="E1019" s="1053"/>
      <c r="R1019" s="1054"/>
      <c r="S1019" s="1054"/>
      <c r="T1019" s="1054"/>
      <c r="U1019" s="1054"/>
      <c r="V1019" s="1054"/>
      <c r="W1019" s="1054"/>
      <c r="X1019" s="1054"/>
      <c r="Y1019" s="1054"/>
    </row>
    <row r="1020" spans="1:25">
      <c r="A1020" s="1053"/>
      <c r="B1020" s="1053"/>
      <c r="C1020" s="1053"/>
      <c r="D1020" s="1053"/>
      <c r="E1020" s="1053"/>
      <c r="R1020" s="1054"/>
      <c r="S1020" s="1054"/>
      <c r="T1020" s="1054"/>
      <c r="U1020" s="1054"/>
      <c r="V1020" s="1054"/>
      <c r="W1020" s="1054"/>
      <c r="X1020" s="1054"/>
      <c r="Y1020" s="1054"/>
    </row>
    <row r="1021" spans="1:25">
      <c r="A1021" s="1053"/>
      <c r="B1021" s="1053"/>
      <c r="C1021" s="1053"/>
      <c r="D1021" s="1053"/>
      <c r="E1021" s="1053"/>
      <c r="R1021" s="1054"/>
      <c r="S1021" s="1054"/>
      <c r="T1021" s="1054"/>
      <c r="U1021" s="1054"/>
      <c r="V1021" s="1054"/>
      <c r="W1021" s="1054"/>
      <c r="X1021" s="1054"/>
      <c r="Y1021" s="1054"/>
    </row>
    <row r="1022" spans="1:25">
      <c r="A1022" s="1053"/>
      <c r="B1022" s="1053"/>
      <c r="C1022" s="1053"/>
      <c r="D1022" s="1053"/>
      <c r="E1022" s="1053"/>
      <c r="R1022" s="1054"/>
      <c r="S1022" s="1054"/>
      <c r="T1022" s="1054"/>
      <c r="U1022" s="1054"/>
      <c r="V1022" s="1054"/>
      <c r="W1022" s="1054"/>
      <c r="X1022" s="1054"/>
      <c r="Y1022" s="1054"/>
    </row>
    <row r="1023" spans="1:25">
      <c r="A1023" s="1053"/>
      <c r="B1023" s="1053"/>
      <c r="C1023" s="1053"/>
      <c r="D1023" s="1053"/>
      <c r="E1023" s="1053"/>
      <c r="R1023" s="1054"/>
      <c r="S1023" s="1054"/>
      <c r="T1023" s="1054"/>
      <c r="U1023" s="1054"/>
      <c r="V1023" s="1054"/>
      <c r="W1023" s="1054"/>
      <c r="X1023" s="1054"/>
      <c r="Y1023" s="1054"/>
    </row>
    <row r="1024" spans="1:25">
      <c r="A1024" s="1053"/>
      <c r="B1024" s="1053"/>
      <c r="C1024" s="1053"/>
      <c r="D1024" s="1053"/>
      <c r="E1024" s="1053"/>
      <c r="R1024" s="1054"/>
      <c r="S1024" s="1054"/>
      <c r="T1024" s="1054"/>
      <c r="U1024" s="1054"/>
      <c r="V1024" s="1054"/>
      <c r="W1024" s="1054"/>
      <c r="X1024" s="1054"/>
      <c r="Y1024" s="1054"/>
    </row>
    <row r="1025" spans="1:25">
      <c r="A1025" s="1053"/>
      <c r="B1025" s="1053"/>
      <c r="C1025" s="1053"/>
      <c r="D1025" s="1053"/>
      <c r="E1025" s="1053"/>
      <c r="R1025" s="1054"/>
      <c r="S1025" s="1054"/>
      <c r="T1025" s="1054"/>
      <c r="U1025" s="1054"/>
      <c r="V1025" s="1054"/>
      <c r="W1025" s="1054"/>
      <c r="X1025" s="1054"/>
      <c r="Y1025" s="1054"/>
    </row>
    <row r="1026" spans="1:25">
      <c r="A1026" s="1053"/>
      <c r="B1026" s="1053"/>
      <c r="C1026" s="1053"/>
      <c r="D1026" s="1053"/>
      <c r="E1026" s="1053"/>
      <c r="R1026" s="1054"/>
      <c r="S1026" s="1054"/>
      <c r="T1026" s="1054"/>
      <c r="U1026" s="1054"/>
      <c r="V1026" s="1054"/>
      <c r="W1026" s="1054"/>
      <c r="X1026" s="1054"/>
      <c r="Y1026" s="1054"/>
    </row>
    <row r="1027" spans="1:25">
      <c r="A1027" s="1053"/>
      <c r="B1027" s="1053"/>
      <c r="C1027" s="1053"/>
      <c r="D1027" s="1053"/>
      <c r="E1027" s="1053"/>
      <c r="R1027" s="1054"/>
      <c r="S1027" s="1054"/>
      <c r="T1027" s="1054"/>
      <c r="U1027" s="1054"/>
      <c r="V1027" s="1054"/>
      <c r="W1027" s="1054"/>
      <c r="X1027" s="1054"/>
      <c r="Y1027" s="1054"/>
    </row>
    <row r="1028" spans="1:25">
      <c r="A1028" s="1053"/>
      <c r="B1028" s="1053"/>
      <c r="C1028" s="1053"/>
      <c r="D1028" s="1053"/>
      <c r="E1028" s="1053"/>
      <c r="R1028" s="1054"/>
      <c r="S1028" s="1054"/>
      <c r="T1028" s="1054"/>
      <c r="U1028" s="1054"/>
      <c r="V1028" s="1054"/>
      <c r="W1028" s="1054"/>
      <c r="X1028" s="1054"/>
      <c r="Y1028" s="1054"/>
    </row>
    <row r="1029" spans="1:25">
      <c r="A1029" s="1053"/>
      <c r="B1029" s="1053"/>
      <c r="C1029" s="1053"/>
      <c r="D1029" s="1053"/>
      <c r="E1029" s="1053"/>
      <c r="R1029" s="1054"/>
      <c r="S1029" s="1054"/>
      <c r="T1029" s="1054"/>
      <c r="U1029" s="1054"/>
      <c r="V1029" s="1054"/>
      <c r="W1029" s="1054"/>
      <c r="X1029" s="1054"/>
      <c r="Y1029" s="1054"/>
    </row>
    <row r="1030" spans="1:25">
      <c r="A1030" s="1053"/>
      <c r="B1030" s="1053"/>
      <c r="C1030" s="1053"/>
      <c r="D1030" s="1053"/>
      <c r="E1030" s="1053"/>
      <c r="R1030" s="1054"/>
      <c r="S1030" s="1054"/>
      <c r="T1030" s="1054"/>
      <c r="U1030" s="1054"/>
      <c r="V1030" s="1054"/>
      <c r="W1030" s="1054"/>
      <c r="X1030" s="1054"/>
      <c r="Y1030" s="1054"/>
    </row>
    <row r="1031" spans="1:25">
      <c r="A1031" s="1053"/>
      <c r="B1031" s="1053"/>
      <c r="C1031" s="1053"/>
      <c r="D1031" s="1053"/>
      <c r="E1031" s="1053"/>
      <c r="R1031" s="1054"/>
      <c r="S1031" s="1054"/>
      <c r="T1031" s="1054"/>
      <c r="U1031" s="1054"/>
      <c r="V1031" s="1054"/>
      <c r="W1031" s="1054"/>
      <c r="X1031" s="1054"/>
      <c r="Y1031" s="1054"/>
    </row>
    <row r="1032" spans="1:25">
      <c r="A1032" s="1053"/>
      <c r="B1032" s="1053"/>
      <c r="C1032" s="1053"/>
      <c r="D1032" s="1053"/>
      <c r="E1032" s="1053"/>
      <c r="R1032" s="1054"/>
      <c r="S1032" s="1054"/>
      <c r="T1032" s="1054"/>
      <c r="U1032" s="1054"/>
      <c r="V1032" s="1054"/>
      <c r="W1032" s="1054"/>
      <c r="X1032" s="1054"/>
      <c r="Y1032" s="1054"/>
    </row>
    <row r="1033" spans="1:25">
      <c r="A1033" s="1053"/>
      <c r="B1033" s="1053"/>
      <c r="C1033" s="1053"/>
      <c r="D1033" s="1053"/>
      <c r="E1033" s="1053"/>
      <c r="R1033" s="1054"/>
      <c r="S1033" s="1054"/>
      <c r="T1033" s="1054"/>
      <c r="U1033" s="1054"/>
      <c r="V1033" s="1054"/>
      <c r="W1033" s="1054"/>
      <c r="X1033" s="1054"/>
      <c r="Y1033" s="1054"/>
    </row>
    <row r="1034" spans="1:25">
      <c r="A1034" s="1053"/>
      <c r="B1034" s="1053"/>
      <c r="C1034" s="1053"/>
      <c r="D1034" s="1053"/>
      <c r="E1034" s="1053"/>
      <c r="R1034" s="1054"/>
      <c r="S1034" s="1054"/>
      <c r="T1034" s="1054"/>
      <c r="U1034" s="1054"/>
      <c r="V1034" s="1054"/>
      <c r="W1034" s="1054"/>
      <c r="X1034" s="1054"/>
      <c r="Y1034" s="1054"/>
    </row>
    <row r="1035" spans="1:25">
      <c r="A1035" s="1053"/>
      <c r="B1035" s="1053"/>
      <c r="C1035" s="1053"/>
      <c r="D1035" s="1053"/>
      <c r="E1035" s="1053"/>
      <c r="R1035" s="1054"/>
      <c r="S1035" s="1054"/>
      <c r="T1035" s="1054"/>
      <c r="U1035" s="1054"/>
      <c r="V1035" s="1054"/>
      <c r="W1035" s="1054"/>
      <c r="X1035" s="1054"/>
      <c r="Y1035" s="1054"/>
    </row>
    <row r="1036" spans="1:25">
      <c r="A1036" s="1053"/>
      <c r="B1036" s="1053"/>
      <c r="C1036" s="1053"/>
      <c r="D1036" s="1053"/>
      <c r="E1036" s="1053"/>
      <c r="R1036" s="1054"/>
      <c r="S1036" s="1054"/>
      <c r="T1036" s="1054"/>
      <c r="U1036" s="1054"/>
      <c r="V1036" s="1054"/>
      <c r="W1036" s="1054"/>
      <c r="X1036" s="1054"/>
      <c r="Y1036" s="1054"/>
    </row>
    <row r="1037" spans="1:25">
      <c r="A1037" s="1053"/>
      <c r="B1037" s="1053"/>
      <c r="C1037" s="1053"/>
      <c r="D1037" s="1053"/>
      <c r="E1037" s="1053"/>
      <c r="R1037" s="1054"/>
      <c r="S1037" s="1054"/>
      <c r="T1037" s="1054"/>
      <c r="U1037" s="1054"/>
      <c r="V1037" s="1054"/>
      <c r="W1037" s="1054"/>
      <c r="X1037" s="1054"/>
      <c r="Y1037" s="1054"/>
    </row>
    <row r="1038" spans="1:25">
      <c r="A1038" s="1053"/>
      <c r="B1038" s="1053"/>
      <c r="C1038" s="1053"/>
      <c r="D1038" s="1053"/>
      <c r="E1038" s="1053"/>
      <c r="R1038" s="1054"/>
      <c r="S1038" s="1054"/>
      <c r="T1038" s="1054"/>
      <c r="U1038" s="1054"/>
      <c r="V1038" s="1054"/>
      <c r="W1038" s="1054"/>
      <c r="X1038" s="1054"/>
      <c r="Y1038" s="1054"/>
    </row>
    <row r="1039" spans="1:25">
      <c r="A1039" s="1053"/>
      <c r="B1039" s="1053"/>
      <c r="C1039" s="1053"/>
      <c r="D1039" s="1053"/>
      <c r="E1039" s="1053"/>
      <c r="R1039" s="1054"/>
      <c r="S1039" s="1054"/>
      <c r="T1039" s="1054"/>
      <c r="U1039" s="1054"/>
      <c r="V1039" s="1054"/>
      <c r="W1039" s="1054"/>
      <c r="X1039" s="1054"/>
      <c r="Y1039" s="1054"/>
    </row>
    <row r="1040" spans="1:25">
      <c r="A1040" s="1053"/>
      <c r="B1040" s="1053"/>
      <c r="C1040" s="1053"/>
      <c r="D1040" s="1053"/>
      <c r="E1040" s="1053"/>
      <c r="R1040" s="1054"/>
      <c r="S1040" s="1054"/>
      <c r="T1040" s="1054"/>
      <c r="U1040" s="1054"/>
      <c r="V1040" s="1054"/>
      <c r="W1040" s="1054"/>
      <c r="X1040" s="1054"/>
      <c r="Y1040" s="1054"/>
    </row>
    <row r="1041" spans="1:25">
      <c r="A1041" s="1053"/>
      <c r="B1041" s="1053"/>
      <c r="C1041" s="1053"/>
      <c r="D1041" s="1053"/>
      <c r="E1041" s="1053"/>
      <c r="R1041" s="1054"/>
      <c r="S1041" s="1054"/>
      <c r="T1041" s="1054"/>
      <c r="U1041" s="1054"/>
      <c r="V1041" s="1054"/>
      <c r="W1041" s="1054"/>
      <c r="X1041" s="1054"/>
      <c r="Y1041" s="1054"/>
    </row>
    <row r="1042" spans="1:25">
      <c r="A1042" s="1053"/>
      <c r="B1042" s="1053"/>
      <c r="C1042" s="1053"/>
      <c r="D1042" s="1053"/>
      <c r="E1042" s="1053"/>
      <c r="R1042" s="1054"/>
      <c r="S1042" s="1054"/>
      <c r="T1042" s="1054"/>
      <c r="U1042" s="1054"/>
      <c r="V1042" s="1054"/>
      <c r="W1042" s="1054"/>
      <c r="X1042" s="1054"/>
      <c r="Y1042" s="1054"/>
    </row>
    <row r="1043" spans="1:25">
      <c r="A1043" s="1053"/>
      <c r="B1043" s="1053"/>
      <c r="C1043" s="1053"/>
      <c r="D1043" s="1053"/>
      <c r="E1043" s="1053"/>
      <c r="R1043" s="1054"/>
      <c r="S1043" s="1054"/>
      <c r="T1043" s="1054"/>
      <c r="U1043" s="1054"/>
      <c r="V1043" s="1054"/>
      <c r="W1043" s="1054"/>
      <c r="X1043" s="1054"/>
      <c r="Y1043" s="1054"/>
    </row>
    <row r="1044" spans="1:25">
      <c r="A1044" s="1053"/>
      <c r="B1044" s="1053"/>
      <c r="C1044" s="1053"/>
      <c r="D1044" s="1053"/>
      <c r="E1044" s="1053"/>
      <c r="R1044" s="1054"/>
      <c r="S1044" s="1054"/>
      <c r="T1044" s="1054"/>
      <c r="U1044" s="1054"/>
      <c r="V1044" s="1054"/>
      <c r="W1044" s="1054"/>
      <c r="X1044" s="1054"/>
      <c r="Y1044" s="1054"/>
    </row>
    <row r="1045" spans="1:25">
      <c r="A1045" s="1053"/>
      <c r="B1045" s="1053"/>
      <c r="C1045" s="1053"/>
      <c r="D1045" s="1053"/>
      <c r="E1045" s="1053"/>
      <c r="R1045" s="1054"/>
      <c r="S1045" s="1054"/>
      <c r="T1045" s="1054"/>
      <c r="U1045" s="1054"/>
      <c r="V1045" s="1054"/>
      <c r="W1045" s="1054"/>
      <c r="X1045" s="1054"/>
      <c r="Y1045" s="1054"/>
    </row>
    <row r="1046" spans="1:25">
      <c r="A1046" s="1053"/>
      <c r="B1046" s="1053"/>
      <c r="C1046" s="1053"/>
      <c r="D1046" s="1053"/>
      <c r="E1046" s="1053"/>
      <c r="R1046" s="1054"/>
      <c r="S1046" s="1054"/>
      <c r="T1046" s="1054"/>
      <c r="U1046" s="1054"/>
      <c r="V1046" s="1054"/>
      <c r="W1046" s="1054"/>
      <c r="X1046" s="1054"/>
      <c r="Y1046" s="1054"/>
    </row>
    <row r="1047" spans="1:25">
      <c r="A1047" s="1053"/>
      <c r="B1047" s="1053"/>
      <c r="C1047" s="1053"/>
      <c r="D1047" s="1053"/>
      <c r="E1047" s="1053"/>
      <c r="R1047" s="1054"/>
      <c r="S1047" s="1054"/>
      <c r="T1047" s="1054"/>
      <c r="U1047" s="1054"/>
      <c r="V1047" s="1054"/>
      <c r="W1047" s="1054"/>
      <c r="X1047" s="1054"/>
      <c r="Y1047" s="1054"/>
    </row>
    <row r="1048" spans="1:25">
      <c r="A1048" s="1053"/>
      <c r="B1048" s="1053"/>
      <c r="C1048" s="1053"/>
      <c r="D1048" s="1053"/>
      <c r="E1048" s="1053"/>
      <c r="R1048" s="1054"/>
      <c r="S1048" s="1054"/>
      <c r="T1048" s="1054"/>
      <c r="U1048" s="1054"/>
      <c r="V1048" s="1054"/>
      <c r="W1048" s="1054"/>
      <c r="X1048" s="1054"/>
      <c r="Y1048" s="1054"/>
    </row>
    <row r="1049" spans="1:25">
      <c r="A1049" s="1053"/>
      <c r="B1049" s="1053"/>
      <c r="C1049" s="1053"/>
      <c r="D1049" s="1053"/>
      <c r="E1049" s="1053"/>
      <c r="R1049" s="1054"/>
      <c r="S1049" s="1054"/>
      <c r="T1049" s="1054"/>
      <c r="U1049" s="1054"/>
      <c r="V1049" s="1054"/>
      <c r="W1049" s="1054"/>
      <c r="X1049" s="1054"/>
      <c r="Y1049" s="1054"/>
    </row>
    <row r="1050" spans="1:25">
      <c r="A1050" s="1053"/>
      <c r="B1050" s="1053"/>
      <c r="C1050" s="1053"/>
      <c r="D1050" s="1053"/>
      <c r="E1050" s="1053"/>
      <c r="R1050" s="1054"/>
      <c r="S1050" s="1054"/>
      <c r="T1050" s="1054"/>
      <c r="U1050" s="1054"/>
      <c r="V1050" s="1054"/>
      <c r="W1050" s="1054"/>
      <c r="X1050" s="1054"/>
      <c r="Y1050" s="1054"/>
    </row>
    <row r="1051" spans="1:25">
      <c r="A1051" s="1053"/>
      <c r="B1051" s="1053"/>
      <c r="C1051" s="1053"/>
      <c r="D1051" s="1053"/>
      <c r="E1051" s="1053"/>
      <c r="R1051" s="1054"/>
      <c r="S1051" s="1054"/>
      <c r="T1051" s="1054"/>
      <c r="U1051" s="1054"/>
      <c r="V1051" s="1054"/>
      <c r="W1051" s="1054"/>
      <c r="X1051" s="1054"/>
      <c r="Y1051" s="1054"/>
    </row>
    <row r="1052" spans="1:25">
      <c r="A1052" s="1053"/>
      <c r="B1052" s="1053"/>
      <c r="C1052" s="1053"/>
      <c r="D1052" s="1053"/>
      <c r="E1052" s="1053"/>
      <c r="R1052" s="1054"/>
      <c r="S1052" s="1054"/>
      <c r="T1052" s="1054"/>
      <c r="U1052" s="1054"/>
      <c r="V1052" s="1054"/>
      <c r="W1052" s="1054"/>
      <c r="X1052" s="1054"/>
      <c r="Y1052" s="1054"/>
    </row>
    <row r="1053" spans="1:25">
      <c r="A1053" s="1053"/>
      <c r="B1053" s="1053"/>
      <c r="C1053" s="1053"/>
      <c r="D1053" s="1053"/>
      <c r="E1053" s="1053"/>
      <c r="R1053" s="1054"/>
      <c r="S1053" s="1054"/>
      <c r="T1053" s="1054"/>
      <c r="U1053" s="1054"/>
      <c r="V1053" s="1054"/>
      <c r="W1053" s="1054"/>
      <c r="X1053" s="1054"/>
      <c r="Y1053" s="1054"/>
    </row>
    <row r="1054" spans="1:25">
      <c r="A1054" s="1053"/>
      <c r="B1054" s="1053"/>
      <c r="C1054" s="1053"/>
      <c r="D1054" s="1053"/>
      <c r="E1054" s="1053"/>
      <c r="R1054" s="1054"/>
      <c r="S1054" s="1054"/>
      <c r="T1054" s="1054"/>
      <c r="U1054" s="1054"/>
      <c r="V1054" s="1054"/>
      <c r="W1054" s="1054"/>
      <c r="X1054" s="1054"/>
      <c r="Y1054" s="1054"/>
    </row>
    <row r="1055" spans="1:25">
      <c r="A1055" s="1053"/>
      <c r="B1055" s="1053"/>
      <c r="C1055" s="1053"/>
      <c r="D1055" s="1053"/>
      <c r="E1055" s="1053"/>
      <c r="R1055" s="1054"/>
      <c r="S1055" s="1054"/>
      <c r="T1055" s="1054"/>
      <c r="U1055" s="1054"/>
      <c r="V1055" s="1054"/>
      <c r="W1055" s="1054"/>
      <c r="X1055" s="1054"/>
      <c r="Y1055" s="1054"/>
    </row>
    <row r="1056" spans="1:25">
      <c r="A1056" s="1053"/>
      <c r="B1056" s="1053"/>
      <c r="C1056" s="1053"/>
      <c r="D1056" s="1053"/>
      <c r="E1056" s="1053"/>
      <c r="R1056" s="1054"/>
      <c r="S1056" s="1054"/>
      <c r="T1056" s="1054"/>
      <c r="U1056" s="1054"/>
      <c r="V1056" s="1054"/>
      <c r="W1056" s="1054"/>
      <c r="X1056" s="1054"/>
      <c r="Y1056" s="1054"/>
    </row>
    <row r="1057" spans="1:25">
      <c r="A1057" s="1053"/>
      <c r="B1057" s="1053"/>
      <c r="C1057" s="1053"/>
      <c r="D1057" s="1053"/>
      <c r="E1057" s="1053"/>
      <c r="R1057" s="1054"/>
      <c r="S1057" s="1054"/>
      <c r="T1057" s="1054"/>
      <c r="U1057" s="1054"/>
      <c r="V1057" s="1054"/>
      <c r="W1057" s="1054"/>
      <c r="X1057" s="1054"/>
      <c r="Y1057" s="1054"/>
    </row>
    <row r="1058" spans="1:25">
      <c r="A1058" s="1053"/>
      <c r="B1058" s="1053"/>
      <c r="C1058" s="1053"/>
      <c r="D1058" s="1053"/>
      <c r="E1058" s="1053"/>
      <c r="R1058" s="1054"/>
      <c r="S1058" s="1054"/>
      <c r="T1058" s="1054"/>
      <c r="U1058" s="1054"/>
      <c r="V1058" s="1054"/>
      <c r="W1058" s="1054"/>
      <c r="X1058" s="1054"/>
      <c r="Y1058" s="1054"/>
    </row>
    <row r="1059" spans="1:25">
      <c r="A1059" s="1053"/>
      <c r="B1059" s="1053"/>
      <c r="C1059" s="1053"/>
      <c r="D1059" s="1053"/>
      <c r="E1059" s="1053"/>
      <c r="R1059" s="1054"/>
      <c r="S1059" s="1054"/>
      <c r="T1059" s="1054"/>
      <c r="U1059" s="1054"/>
      <c r="V1059" s="1054"/>
      <c r="W1059" s="1054"/>
      <c r="X1059" s="1054"/>
      <c r="Y1059" s="1054"/>
    </row>
    <row r="1060" spans="1:25">
      <c r="A1060" s="1053"/>
      <c r="B1060" s="1053"/>
      <c r="C1060" s="1053"/>
      <c r="D1060" s="1053"/>
      <c r="E1060" s="1053"/>
      <c r="R1060" s="1054"/>
      <c r="S1060" s="1054"/>
      <c r="T1060" s="1054"/>
      <c r="U1060" s="1054"/>
      <c r="V1060" s="1054"/>
      <c r="W1060" s="1054"/>
      <c r="X1060" s="1054"/>
      <c r="Y1060" s="1054"/>
    </row>
    <row r="1061" spans="1:25">
      <c r="A1061" s="1053"/>
      <c r="B1061" s="1053"/>
      <c r="C1061" s="1053"/>
      <c r="D1061" s="1053"/>
      <c r="E1061" s="1053"/>
      <c r="R1061" s="1054"/>
      <c r="S1061" s="1054"/>
      <c r="T1061" s="1054"/>
      <c r="U1061" s="1054"/>
      <c r="V1061" s="1054"/>
      <c r="W1061" s="1054"/>
      <c r="X1061" s="1054"/>
      <c r="Y1061" s="1054"/>
    </row>
    <row r="1062" spans="1:25">
      <c r="A1062" s="1053"/>
      <c r="B1062" s="1053"/>
      <c r="C1062" s="1053"/>
      <c r="D1062" s="1053"/>
      <c r="E1062" s="1053"/>
      <c r="R1062" s="1054"/>
      <c r="S1062" s="1054"/>
      <c r="T1062" s="1054"/>
      <c r="U1062" s="1054"/>
      <c r="V1062" s="1054"/>
      <c r="W1062" s="1054"/>
      <c r="X1062" s="1054"/>
      <c r="Y1062" s="1054"/>
    </row>
    <row r="1063" spans="1:25">
      <c r="A1063" s="1053"/>
      <c r="B1063" s="1053"/>
      <c r="C1063" s="1053"/>
      <c r="D1063" s="1053"/>
      <c r="E1063" s="1053"/>
      <c r="R1063" s="1054"/>
      <c r="S1063" s="1054"/>
      <c r="T1063" s="1054"/>
      <c r="U1063" s="1054"/>
      <c r="V1063" s="1054"/>
      <c r="W1063" s="1054"/>
      <c r="X1063" s="1054"/>
      <c r="Y1063" s="1054"/>
    </row>
    <row r="1064" spans="1:25">
      <c r="A1064" s="1053"/>
      <c r="B1064" s="1053"/>
      <c r="C1064" s="1053"/>
      <c r="D1064" s="1053"/>
      <c r="E1064" s="1053"/>
      <c r="R1064" s="1054"/>
      <c r="S1064" s="1054"/>
      <c r="T1064" s="1054"/>
      <c r="U1064" s="1054"/>
      <c r="V1064" s="1054"/>
      <c r="W1064" s="1054"/>
      <c r="X1064" s="1054"/>
      <c r="Y1064" s="1054"/>
    </row>
    <row r="1065" spans="1:25">
      <c r="A1065" s="1053"/>
      <c r="B1065" s="1053"/>
      <c r="C1065" s="1053"/>
      <c r="D1065" s="1053"/>
      <c r="E1065" s="1053"/>
      <c r="R1065" s="1054"/>
      <c r="S1065" s="1054"/>
      <c r="T1065" s="1054"/>
      <c r="U1065" s="1054"/>
      <c r="V1065" s="1054"/>
      <c r="W1065" s="1054"/>
      <c r="X1065" s="1054"/>
      <c r="Y1065" s="1054"/>
    </row>
    <row r="1066" spans="1:25">
      <c r="A1066" s="1053"/>
      <c r="B1066" s="1053"/>
      <c r="C1066" s="1053"/>
      <c r="D1066" s="1053"/>
      <c r="E1066" s="1053"/>
      <c r="R1066" s="1054"/>
      <c r="S1066" s="1054"/>
      <c r="T1066" s="1054"/>
      <c r="U1066" s="1054"/>
      <c r="V1066" s="1054"/>
      <c r="W1066" s="1054"/>
      <c r="X1066" s="1054"/>
      <c r="Y1066" s="1054"/>
    </row>
    <row r="1067" spans="1:25">
      <c r="A1067" s="1053"/>
      <c r="B1067" s="1053"/>
      <c r="C1067" s="1053"/>
      <c r="D1067" s="1053"/>
      <c r="E1067" s="1053"/>
      <c r="R1067" s="1054"/>
      <c r="S1067" s="1054"/>
      <c r="T1067" s="1054"/>
      <c r="U1067" s="1054"/>
      <c r="V1067" s="1054"/>
      <c r="W1067" s="1054"/>
      <c r="X1067" s="1054"/>
      <c r="Y1067" s="1054"/>
    </row>
    <row r="1068" spans="1:25">
      <c r="A1068" s="1053"/>
      <c r="B1068" s="1053"/>
      <c r="C1068" s="1053"/>
      <c r="D1068" s="1053"/>
      <c r="E1068" s="1053"/>
      <c r="R1068" s="1054"/>
      <c r="S1068" s="1054"/>
      <c r="T1068" s="1054"/>
      <c r="U1068" s="1054"/>
      <c r="V1068" s="1054"/>
      <c r="W1068" s="1054"/>
      <c r="X1068" s="1054"/>
      <c r="Y1068" s="1054"/>
    </row>
    <row r="1069" spans="1:25">
      <c r="A1069" s="1053"/>
      <c r="B1069" s="1053"/>
      <c r="C1069" s="1053"/>
      <c r="D1069" s="1053"/>
      <c r="E1069" s="1053"/>
      <c r="R1069" s="1054"/>
      <c r="S1069" s="1054"/>
      <c r="T1069" s="1054"/>
      <c r="U1069" s="1054"/>
      <c r="V1069" s="1054"/>
      <c r="W1069" s="1054"/>
      <c r="X1069" s="1054"/>
      <c r="Y1069" s="1054"/>
    </row>
    <row r="1070" spans="1:25">
      <c r="A1070" s="1053"/>
      <c r="B1070" s="1053"/>
      <c r="C1070" s="1053"/>
      <c r="D1070" s="1053"/>
      <c r="E1070" s="1053"/>
      <c r="R1070" s="1054"/>
      <c r="S1070" s="1054"/>
      <c r="T1070" s="1054"/>
      <c r="U1070" s="1054"/>
      <c r="V1070" s="1054"/>
      <c r="W1070" s="1054"/>
      <c r="X1070" s="1054"/>
      <c r="Y1070" s="1054"/>
    </row>
    <row r="1071" spans="1:25">
      <c r="A1071" s="1053"/>
      <c r="B1071" s="1053"/>
      <c r="C1071" s="1053"/>
      <c r="D1071" s="1053"/>
      <c r="E1071" s="1053"/>
      <c r="R1071" s="1054"/>
      <c r="S1071" s="1054"/>
      <c r="T1071" s="1054"/>
      <c r="U1071" s="1054"/>
      <c r="V1071" s="1054"/>
      <c r="W1071" s="1054"/>
      <c r="X1071" s="1054"/>
      <c r="Y1071" s="1054"/>
    </row>
    <row r="1072" spans="1:25">
      <c r="A1072" s="1053"/>
      <c r="B1072" s="1053"/>
      <c r="C1072" s="1053"/>
      <c r="D1072" s="1053"/>
      <c r="E1072" s="1053"/>
      <c r="R1072" s="1054"/>
      <c r="S1072" s="1054"/>
      <c r="T1072" s="1054"/>
      <c r="U1072" s="1054"/>
      <c r="V1072" s="1054"/>
      <c r="W1072" s="1054"/>
      <c r="X1072" s="1054"/>
      <c r="Y1072" s="1054"/>
    </row>
    <row r="1073" spans="1:25">
      <c r="A1073" s="1053"/>
      <c r="B1073" s="1053"/>
      <c r="C1073" s="1053"/>
      <c r="D1073" s="1053"/>
      <c r="E1073" s="1053"/>
      <c r="R1073" s="1054"/>
      <c r="S1073" s="1054"/>
      <c r="T1073" s="1054"/>
      <c r="U1073" s="1054"/>
      <c r="V1073" s="1054"/>
      <c r="W1073" s="1054"/>
      <c r="X1073" s="1054"/>
      <c r="Y1073" s="1054"/>
    </row>
    <row r="1074" spans="1:25">
      <c r="A1074" s="1053"/>
      <c r="B1074" s="1053"/>
      <c r="C1074" s="1053"/>
      <c r="D1074" s="1053"/>
      <c r="E1074" s="1053"/>
      <c r="R1074" s="1054"/>
      <c r="S1074" s="1054"/>
      <c r="T1074" s="1054"/>
      <c r="U1074" s="1054"/>
      <c r="V1074" s="1054"/>
      <c r="W1074" s="1054"/>
      <c r="X1074" s="1054"/>
      <c r="Y1074" s="1054"/>
    </row>
    <row r="1075" spans="1:25">
      <c r="A1075" s="1053"/>
      <c r="B1075" s="1053"/>
      <c r="C1075" s="1053"/>
      <c r="D1075" s="1053"/>
      <c r="E1075" s="1053"/>
      <c r="R1075" s="1054"/>
      <c r="S1075" s="1054"/>
      <c r="T1075" s="1054"/>
      <c r="U1075" s="1054"/>
      <c r="V1075" s="1054"/>
      <c r="W1075" s="1054"/>
      <c r="X1075" s="1054"/>
      <c r="Y1075" s="1054"/>
    </row>
    <row r="1076" spans="1:25">
      <c r="A1076" s="1053"/>
      <c r="B1076" s="1053"/>
      <c r="C1076" s="1053"/>
      <c r="D1076" s="1053"/>
      <c r="E1076" s="1053"/>
      <c r="R1076" s="1054"/>
      <c r="S1076" s="1054"/>
      <c r="T1076" s="1054"/>
      <c r="U1076" s="1054"/>
      <c r="V1076" s="1054"/>
      <c r="W1076" s="1054"/>
      <c r="X1076" s="1054"/>
      <c r="Y1076" s="1054"/>
    </row>
    <row r="1077" spans="1:25">
      <c r="A1077" s="1053"/>
      <c r="B1077" s="1053"/>
      <c r="C1077" s="1053"/>
      <c r="D1077" s="1053"/>
      <c r="E1077" s="1053"/>
      <c r="R1077" s="1054"/>
      <c r="S1077" s="1054"/>
      <c r="T1077" s="1054"/>
      <c r="U1077" s="1054"/>
      <c r="V1077" s="1054"/>
      <c r="W1077" s="1054"/>
      <c r="X1077" s="1054"/>
      <c r="Y1077" s="1054"/>
    </row>
    <row r="1078" spans="1:25">
      <c r="A1078" s="1053"/>
      <c r="B1078" s="1053"/>
      <c r="C1078" s="1053"/>
      <c r="D1078" s="1053"/>
      <c r="E1078" s="1053"/>
      <c r="R1078" s="1054"/>
      <c r="S1078" s="1054"/>
      <c r="T1078" s="1054"/>
      <c r="U1078" s="1054"/>
      <c r="V1078" s="1054"/>
      <c r="W1078" s="1054"/>
      <c r="X1078" s="1054"/>
      <c r="Y1078" s="1054"/>
    </row>
    <row r="1079" spans="1:25">
      <c r="A1079" s="1053"/>
      <c r="B1079" s="1053"/>
      <c r="C1079" s="1053"/>
      <c r="D1079" s="1053"/>
      <c r="E1079" s="1053"/>
      <c r="R1079" s="1054"/>
      <c r="S1079" s="1054"/>
      <c r="T1079" s="1054"/>
      <c r="U1079" s="1054"/>
      <c r="V1079" s="1054"/>
      <c r="W1079" s="1054"/>
      <c r="X1079" s="1054"/>
      <c r="Y1079" s="1054"/>
    </row>
    <row r="1080" spans="1:25">
      <c r="A1080" s="1053"/>
      <c r="B1080" s="1053"/>
      <c r="C1080" s="1053"/>
      <c r="D1080" s="1053"/>
      <c r="E1080" s="1053"/>
      <c r="R1080" s="1054"/>
      <c r="S1080" s="1054"/>
      <c r="T1080" s="1054"/>
      <c r="U1080" s="1054"/>
      <c r="V1080" s="1054"/>
      <c r="W1080" s="1054"/>
      <c r="X1080" s="1054"/>
      <c r="Y1080" s="1054"/>
    </row>
    <row r="1081" spans="1:25">
      <c r="A1081" s="1053"/>
      <c r="B1081" s="1053"/>
      <c r="C1081" s="1053"/>
      <c r="D1081" s="1053"/>
      <c r="E1081" s="1053"/>
      <c r="R1081" s="1054"/>
      <c r="S1081" s="1054"/>
      <c r="T1081" s="1054"/>
      <c r="U1081" s="1054"/>
      <c r="V1081" s="1054"/>
      <c r="W1081" s="1054"/>
      <c r="X1081" s="1054"/>
      <c r="Y1081" s="1054"/>
    </row>
    <row r="1082" spans="1:25">
      <c r="A1082" s="1053"/>
      <c r="B1082" s="1053"/>
      <c r="C1082" s="1053"/>
      <c r="D1082" s="1053"/>
      <c r="E1082" s="1053"/>
      <c r="R1082" s="1054"/>
      <c r="S1082" s="1054"/>
      <c r="T1082" s="1054"/>
      <c r="U1082" s="1054"/>
      <c r="V1082" s="1054"/>
      <c r="W1082" s="1054"/>
      <c r="X1082" s="1054"/>
      <c r="Y1082" s="1054"/>
    </row>
    <row r="1083" spans="1:25">
      <c r="A1083" s="1053"/>
      <c r="B1083" s="1053"/>
      <c r="C1083" s="1053"/>
      <c r="D1083" s="1053"/>
      <c r="E1083" s="1053"/>
      <c r="R1083" s="1054"/>
      <c r="S1083" s="1054"/>
      <c r="T1083" s="1054"/>
      <c r="U1083" s="1054"/>
      <c r="V1083" s="1054"/>
      <c r="W1083" s="1054"/>
      <c r="X1083" s="1054"/>
      <c r="Y1083" s="1054"/>
    </row>
    <row r="1084" spans="1:25">
      <c r="A1084" s="1053"/>
      <c r="B1084" s="1053"/>
      <c r="C1084" s="1053"/>
      <c r="D1084" s="1053"/>
      <c r="E1084" s="1053"/>
      <c r="R1084" s="1054"/>
      <c r="S1084" s="1054"/>
      <c r="T1084" s="1054"/>
      <c r="U1084" s="1054"/>
      <c r="V1084" s="1054"/>
      <c r="W1084" s="1054"/>
      <c r="X1084" s="1054"/>
      <c r="Y1084" s="1054"/>
    </row>
    <row r="1085" spans="1:25">
      <c r="A1085" s="1053"/>
      <c r="B1085" s="1053"/>
      <c r="C1085" s="1053"/>
      <c r="D1085" s="1053"/>
      <c r="E1085" s="1053"/>
      <c r="R1085" s="1054"/>
      <c r="S1085" s="1054"/>
      <c r="T1085" s="1054"/>
      <c r="U1085" s="1054"/>
      <c r="V1085" s="1054"/>
      <c r="W1085" s="1054"/>
      <c r="X1085" s="1054"/>
      <c r="Y1085" s="1054"/>
    </row>
    <row r="1086" spans="1:25">
      <c r="A1086" s="1053"/>
      <c r="B1086" s="1053"/>
      <c r="C1086" s="1053"/>
      <c r="D1086" s="1053"/>
      <c r="E1086" s="1053"/>
      <c r="R1086" s="1054"/>
      <c r="S1086" s="1054"/>
      <c r="T1086" s="1054"/>
      <c r="U1086" s="1054"/>
      <c r="V1086" s="1054"/>
      <c r="W1086" s="1054"/>
      <c r="X1086" s="1054"/>
      <c r="Y1086" s="1054"/>
    </row>
    <row r="1087" spans="1:25">
      <c r="A1087" s="1053"/>
      <c r="B1087" s="1053"/>
      <c r="C1087" s="1053"/>
      <c r="D1087" s="1053"/>
      <c r="E1087" s="1053"/>
      <c r="R1087" s="1054"/>
      <c r="S1087" s="1054"/>
      <c r="T1087" s="1054"/>
      <c r="U1087" s="1054"/>
      <c r="V1087" s="1054"/>
      <c r="W1087" s="1054"/>
      <c r="X1087" s="1054"/>
      <c r="Y1087" s="1054"/>
    </row>
    <row r="1088" spans="1:25">
      <c r="A1088" s="1053"/>
      <c r="B1088" s="1053"/>
      <c r="C1088" s="1053"/>
      <c r="D1088" s="1053"/>
      <c r="E1088" s="1053"/>
      <c r="R1088" s="1054"/>
      <c r="S1088" s="1054"/>
      <c r="T1088" s="1054"/>
      <c r="U1088" s="1054"/>
      <c r="V1088" s="1054"/>
      <c r="W1088" s="1054"/>
      <c r="X1088" s="1054"/>
      <c r="Y1088" s="1054"/>
    </row>
    <row r="1089" spans="1:25">
      <c r="A1089" s="1053"/>
      <c r="B1089" s="1053"/>
      <c r="C1089" s="1053"/>
      <c r="D1089" s="1053"/>
      <c r="E1089" s="1053"/>
      <c r="R1089" s="1054"/>
      <c r="S1089" s="1054"/>
      <c r="T1089" s="1054"/>
      <c r="U1089" s="1054"/>
      <c r="V1089" s="1054"/>
      <c r="W1089" s="1054"/>
      <c r="X1089" s="1054"/>
      <c r="Y1089" s="1054"/>
    </row>
    <row r="1090" spans="1:25">
      <c r="A1090" s="1053"/>
      <c r="B1090" s="1053"/>
      <c r="C1090" s="1053"/>
      <c r="D1090" s="1053"/>
      <c r="E1090" s="1053"/>
      <c r="R1090" s="1054"/>
      <c r="S1090" s="1054"/>
      <c r="T1090" s="1054"/>
      <c r="U1090" s="1054"/>
      <c r="V1090" s="1054"/>
      <c r="W1090" s="1054"/>
      <c r="X1090" s="1054"/>
      <c r="Y1090" s="1054"/>
    </row>
    <row r="1091" spans="1:25">
      <c r="A1091" s="1053"/>
      <c r="B1091" s="1053"/>
      <c r="C1091" s="1053"/>
      <c r="D1091" s="1053"/>
      <c r="E1091" s="1053"/>
      <c r="R1091" s="1054"/>
      <c r="S1091" s="1054"/>
      <c r="T1091" s="1054"/>
      <c r="U1091" s="1054"/>
      <c r="V1091" s="1054"/>
      <c r="W1091" s="1054"/>
      <c r="X1091" s="1054"/>
      <c r="Y1091" s="1054"/>
    </row>
    <row r="1092" spans="1:25">
      <c r="A1092" s="1053"/>
      <c r="B1092" s="1053"/>
      <c r="C1092" s="1053"/>
      <c r="D1092" s="1053"/>
      <c r="E1092" s="1053"/>
      <c r="R1092" s="1054"/>
      <c r="S1092" s="1054"/>
      <c r="T1092" s="1054"/>
      <c r="U1092" s="1054"/>
      <c r="V1092" s="1054"/>
      <c r="W1092" s="1054"/>
      <c r="X1092" s="1054"/>
      <c r="Y1092" s="1054"/>
    </row>
    <row r="1093" spans="1:25">
      <c r="A1093" s="1053"/>
      <c r="B1093" s="1053"/>
      <c r="C1093" s="1053"/>
      <c r="D1093" s="1053"/>
      <c r="E1093" s="1053"/>
      <c r="R1093" s="1054"/>
      <c r="S1093" s="1054"/>
      <c r="T1093" s="1054"/>
      <c r="U1093" s="1054"/>
      <c r="V1093" s="1054"/>
      <c r="W1093" s="1054"/>
      <c r="X1093" s="1054"/>
      <c r="Y1093" s="1054"/>
    </row>
    <row r="1094" spans="1:25">
      <c r="A1094" s="1053"/>
      <c r="B1094" s="1053"/>
      <c r="C1094" s="1053"/>
      <c r="D1094" s="1053"/>
      <c r="E1094" s="1053"/>
      <c r="R1094" s="1054"/>
      <c r="S1094" s="1054"/>
      <c r="T1094" s="1054"/>
      <c r="U1094" s="1054"/>
      <c r="V1094" s="1054"/>
      <c r="W1094" s="1054"/>
      <c r="X1094" s="1054"/>
      <c r="Y1094" s="1054"/>
    </row>
    <row r="1095" spans="1:25">
      <c r="A1095" s="1053"/>
      <c r="B1095" s="1053"/>
      <c r="C1095" s="1053"/>
      <c r="D1095" s="1053"/>
      <c r="E1095" s="1053"/>
      <c r="R1095" s="1054"/>
      <c r="S1095" s="1054"/>
      <c r="T1095" s="1054"/>
      <c r="U1095" s="1054"/>
      <c r="V1095" s="1054"/>
      <c r="W1095" s="1054"/>
      <c r="X1095" s="1054"/>
      <c r="Y1095" s="1054"/>
    </row>
    <row r="1096" spans="1:25">
      <c r="A1096" s="1053"/>
      <c r="B1096" s="1053"/>
      <c r="C1096" s="1053"/>
      <c r="D1096" s="1053"/>
      <c r="E1096" s="1053"/>
      <c r="R1096" s="1054"/>
      <c r="S1096" s="1054"/>
      <c r="T1096" s="1054"/>
      <c r="U1096" s="1054"/>
      <c r="V1096" s="1054"/>
      <c r="W1096" s="1054"/>
      <c r="X1096" s="1054"/>
      <c r="Y1096" s="1054"/>
    </row>
    <row r="1097" spans="1:25">
      <c r="A1097" s="1053"/>
      <c r="B1097" s="1053"/>
      <c r="C1097" s="1053"/>
      <c r="D1097" s="1053"/>
      <c r="E1097" s="1053"/>
      <c r="R1097" s="1054"/>
      <c r="S1097" s="1054"/>
      <c r="T1097" s="1054"/>
      <c r="U1097" s="1054"/>
      <c r="V1097" s="1054"/>
      <c r="W1097" s="1054"/>
      <c r="X1097" s="1054"/>
      <c r="Y1097" s="1054"/>
    </row>
    <row r="1098" spans="1:25">
      <c r="A1098" s="1053"/>
      <c r="B1098" s="1053"/>
      <c r="C1098" s="1053"/>
      <c r="D1098" s="1053"/>
      <c r="E1098" s="1053"/>
      <c r="R1098" s="1054"/>
      <c r="S1098" s="1054"/>
      <c r="T1098" s="1054"/>
      <c r="U1098" s="1054"/>
      <c r="V1098" s="1054"/>
      <c r="W1098" s="1054"/>
      <c r="X1098" s="1054"/>
      <c r="Y1098" s="1054"/>
    </row>
    <row r="1099" spans="1:25">
      <c r="A1099" s="1053"/>
      <c r="B1099" s="1053"/>
      <c r="C1099" s="1053"/>
      <c r="D1099" s="1053"/>
      <c r="E1099" s="1053"/>
      <c r="R1099" s="1054"/>
      <c r="S1099" s="1054"/>
      <c r="T1099" s="1054"/>
      <c r="U1099" s="1054"/>
      <c r="V1099" s="1054"/>
      <c r="W1099" s="1054"/>
      <c r="X1099" s="1054"/>
      <c r="Y1099" s="1054"/>
    </row>
    <row r="1100" spans="1:25">
      <c r="A1100" s="1053"/>
      <c r="B1100" s="1053"/>
      <c r="C1100" s="1053"/>
      <c r="D1100" s="1053"/>
      <c r="E1100" s="1053"/>
      <c r="R1100" s="1054"/>
      <c r="S1100" s="1054"/>
      <c r="T1100" s="1054"/>
      <c r="U1100" s="1054"/>
      <c r="V1100" s="1054"/>
      <c r="W1100" s="1054"/>
      <c r="X1100" s="1054"/>
      <c r="Y1100" s="1054"/>
    </row>
    <row r="1101" spans="1:25">
      <c r="A1101" s="1053"/>
      <c r="B1101" s="1053"/>
      <c r="C1101" s="1053"/>
      <c r="D1101" s="1053"/>
      <c r="E1101" s="1053"/>
      <c r="R1101" s="1054"/>
      <c r="S1101" s="1054"/>
      <c r="T1101" s="1054"/>
      <c r="U1101" s="1054"/>
      <c r="V1101" s="1054"/>
      <c r="W1101" s="1054"/>
      <c r="X1101" s="1054"/>
      <c r="Y1101" s="1054"/>
    </row>
    <row r="1102" spans="1:25">
      <c r="A1102" s="1053"/>
      <c r="B1102" s="1053"/>
      <c r="C1102" s="1053"/>
      <c r="D1102" s="1053"/>
      <c r="E1102" s="1053"/>
      <c r="R1102" s="1054"/>
      <c r="S1102" s="1054"/>
      <c r="T1102" s="1054"/>
      <c r="U1102" s="1054"/>
      <c r="V1102" s="1054"/>
      <c r="W1102" s="1054"/>
      <c r="X1102" s="1054"/>
      <c r="Y1102" s="1054"/>
    </row>
    <row r="1103" spans="1:25">
      <c r="A1103" s="1053"/>
      <c r="B1103" s="1053"/>
      <c r="C1103" s="1053"/>
      <c r="D1103" s="1053"/>
      <c r="E1103" s="1053"/>
      <c r="R1103" s="1054"/>
      <c r="S1103" s="1054"/>
      <c r="T1103" s="1054"/>
      <c r="U1103" s="1054"/>
      <c r="V1103" s="1054"/>
      <c r="W1103" s="1054"/>
      <c r="X1103" s="1054"/>
      <c r="Y1103" s="1054"/>
    </row>
    <row r="1104" spans="1:25">
      <c r="A1104" s="1053"/>
      <c r="B1104" s="1053"/>
      <c r="C1104" s="1053"/>
      <c r="D1104" s="1053"/>
      <c r="E1104" s="1053"/>
      <c r="R1104" s="1054"/>
      <c r="S1104" s="1054"/>
      <c r="T1104" s="1054"/>
      <c r="U1104" s="1054"/>
      <c r="V1104" s="1054"/>
      <c r="W1104" s="1054"/>
      <c r="X1104" s="1054"/>
      <c r="Y1104" s="1054"/>
    </row>
    <row r="1105" spans="1:25">
      <c r="A1105" s="1053"/>
      <c r="B1105" s="1053"/>
      <c r="C1105" s="1053"/>
      <c r="D1105" s="1053"/>
      <c r="E1105" s="1053"/>
      <c r="R1105" s="1054"/>
      <c r="S1105" s="1054"/>
      <c r="T1105" s="1054"/>
      <c r="U1105" s="1054"/>
      <c r="V1105" s="1054"/>
      <c r="W1105" s="1054"/>
      <c r="X1105" s="1054"/>
      <c r="Y1105" s="1054"/>
    </row>
    <row r="1106" spans="1:25">
      <c r="A1106" s="1053"/>
      <c r="B1106" s="1053"/>
      <c r="C1106" s="1053"/>
      <c r="D1106" s="1053"/>
      <c r="E1106" s="1053"/>
      <c r="R1106" s="1054"/>
      <c r="S1106" s="1054"/>
      <c r="T1106" s="1054"/>
      <c r="U1106" s="1054"/>
      <c r="V1106" s="1054"/>
      <c r="W1106" s="1054"/>
      <c r="X1106" s="1054"/>
      <c r="Y1106" s="1054"/>
    </row>
    <row r="1107" spans="1:25">
      <c r="A1107" s="1053"/>
      <c r="B1107" s="1053"/>
      <c r="C1107" s="1053"/>
      <c r="D1107" s="1053"/>
      <c r="E1107" s="1053"/>
      <c r="R1107" s="1054"/>
      <c r="S1107" s="1054"/>
      <c r="T1107" s="1054"/>
      <c r="U1107" s="1054"/>
      <c r="V1107" s="1054"/>
      <c r="W1107" s="1054"/>
      <c r="X1107" s="1054"/>
      <c r="Y1107" s="1054"/>
    </row>
    <row r="1108" spans="1:25">
      <c r="A1108" s="1053"/>
      <c r="B1108" s="1053"/>
      <c r="C1108" s="1053"/>
      <c r="D1108" s="1053"/>
      <c r="E1108" s="1053"/>
      <c r="R1108" s="1054"/>
      <c r="S1108" s="1054"/>
      <c r="T1108" s="1054"/>
      <c r="U1108" s="1054"/>
      <c r="V1108" s="1054"/>
      <c r="W1108" s="1054"/>
      <c r="X1108" s="1054"/>
      <c r="Y1108" s="1054"/>
    </row>
    <row r="1109" spans="1:25">
      <c r="A1109" s="1053"/>
      <c r="B1109" s="1053"/>
      <c r="C1109" s="1053"/>
      <c r="D1109" s="1053"/>
      <c r="E1109" s="1053"/>
      <c r="R1109" s="1054"/>
      <c r="S1109" s="1054"/>
      <c r="T1109" s="1054"/>
      <c r="U1109" s="1054"/>
      <c r="V1109" s="1054"/>
      <c r="W1109" s="1054"/>
      <c r="X1109" s="1054"/>
      <c r="Y1109" s="1054"/>
    </row>
    <row r="1110" spans="1:25">
      <c r="A1110" s="1053"/>
      <c r="B1110" s="1053"/>
      <c r="C1110" s="1053"/>
      <c r="D1110" s="1053"/>
      <c r="E1110" s="1053"/>
      <c r="R1110" s="1054"/>
      <c r="S1110" s="1054"/>
      <c r="T1110" s="1054"/>
      <c r="U1110" s="1054"/>
      <c r="V1110" s="1054"/>
      <c r="W1110" s="1054"/>
      <c r="X1110" s="1054"/>
      <c r="Y1110" s="1054"/>
    </row>
    <row r="1111" spans="1:25">
      <c r="A1111" s="1053"/>
      <c r="B1111" s="1053"/>
      <c r="C1111" s="1053"/>
      <c r="D1111" s="1053"/>
      <c r="E1111" s="1053"/>
      <c r="R1111" s="1054"/>
      <c r="S1111" s="1054"/>
      <c r="T1111" s="1054"/>
      <c r="U1111" s="1054"/>
      <c r="V1111" s="1054"/>
      <c r="W1111" s="1054"/>
      <c r="X1111" s="1054"/>
      <c r="Y1111" s="1054"/>
    </row>
    <row r="1112" spans="1:25">
      <c r="A1112" s="1053"/>
      <c r="B1112" s="1053"/>
      <c r="C1112" s="1053"/>
      <c r="D1112" s="1053"/>
      <c r="E1112" s="1053"/>
      <c r="R1112" s="1054"/>
      <c r="S1112" s="1054"/>
      <c r="T1112" s="1054"/>
      <c r="U1112" s="1054"/>
      <c r="V1112" s="1054"/>
      <c r="W1112" s="1054"/>
      <c r="X1112" s="1054"/>
      <c r="Y1112" s="1054"/>
    </row>
    <row r="1113" spans="1:25">
      <c r="A1113" s="1053"/>
      <c r="B1113" s="1053"/>
      <c r="C1113" s="1053"/>
      <c r="D1113" s="1053"/>
      <c r="E1113" s="1053"/>
      <c r="R1113" s="1054"/>
      <c r="S1113" s="1054"/>
      <c r="T1113" s="1054"/>
      <c r="U1113" s="1054"/>
      <c r="V1113" s="1054"/>
      <c r="W1113" s="1054"/>
      <c r="X1113" s="1054"/>
      <c r="Y1113" s="1054"/>
    </row>
    <row r="1114" spans="1:25">
      <c r="A1114" s="1053"/>
      <c r="B1114" s="1053"/>
      <c r="C1114" s="1053"/>
      <c r="D1114" s="1053"/>
      <c r="E1114" s="1053"/>
      <c r="R1114" s="1054"/>
      <c r="S1114" s="1054"/>
      <c r="T1114" s="1054"/>
      <c r="U1114" s="1054"/>
      <c r="V1114" s="1054"/>
      <c r="W1114" s="1054"/>
      <c r="X1114" s="1054"/>
      <c r="Y1114" s="1054"/>
    </row>
    <row r="1115" spans="1:25">
      <c r="A1115" s="1053"/>
      <c r="B1115" s="1053"/>
      <c r="C1115" s="1053"/>
      <c r="D1115" s="1053"/>
      <c r="E1115" s="1053"/>
      <c r="R1115" s="1054"/>
      <c r="S1115" s="1054"/>
      <c r="T1115" s="1054"/>
      <c r="U1115" s="1054"/>
      <c r="V1115" s="1054"/>
      <c r="W1115" s="1054"/>
      <c r="X1115" s="1054"/>
      <c r="Y1115" s="1054"/>
    </row>
    <row r="1116" spans="1:25">
      <c r="A1116" s="1053"/>
      <c r="B1116" s="1053"/>
      <c r="C1116" s="1053"/>
      <c r="D1116" s="1053"/>
      <c r="E1116" s="1053"/>
      <c r="R1116" s="1054"/>
      <c r="S1116" s="1054"/>
      <c r="T1116" s="1054"/>
      <c r="U1116" s="1054"/>
      <c r="V1116" s="1054"/>
      <c r="W1116" s="1054"/>
      <c r="X1116" s="1054"/>
      <c r="Y1116" s="1054"/>
    </row>
    <row r="1117" spans="1:25">
      <c r="A1117" s="1053"/>
      <c r="B1117" s="1053"/>
      <c r="C1117" s="1053"/>
      <c r="D1117" s="1053"/>
      <c r="E1117" s="1053"/>
      <c r="R1117" s="1054"/>
      <c r="S1117" s="1054"/>
      <c r="T1117" s="1054"/>
      <c r="U1117" s="1054"/>
      <c r="V1117" s="1054"/>
      <c r="W1117" s="1054"/>
      <c r="X1117" s="1054"/>
      <c r="Y1117" s="1054"/>
    </row>
    <row r="1118" spans="1:25">
      <c r="A1118" s="1053"/>
      <c r="B1118" s="1053"/>
      <c r="C1118" s="1053"/>
      <c r="D1118" s="1053"/>
      <c r="E1118" s="1053"/>
      <c r="R1118" s="1054"/>
      <c r="S1118" s="1054"/>
      <c r="T1118" s="1054"/>
      <c r="U1118" s="1054"/>
      <c r="V1118" s="1054"/>
      <c r="W1118" s="1054"/>
      <c r="X1118" s="1054"/>
      <c r="Y1118" s="1054"/>
    </row>
    <row r="1119" spans="1:25">
      <c r="A1119" s="1053"/>
      <c r="B1119" s="1053"/>
      <c r="C1119" s="1053"/>
      <c r="D1119" s="1053"/>
      <c r="E1119" s="1053"/>
      <c r="R1119" s="1054"/>
      <c r="S1119" s="1054"/>
      <c r="T1119" s="1054"/>
      <c r="U1119" s="1054"/>
      <c r="V1119" s="1054"/>
      <c r="W1119" s="1054"/>
      <c r="X1119" s="1054"/>
      <c r="Y1119" s="1054"/>
    </row>
    <row r="1120" spans="1:25">
      <c r="A1120" s="1053"/>
      <c r="B1120" s="1053"/>
      <c r="C1120" s="1053"/>
      <c r="D1120" s="1053"/>
      <c r="E1120" s="1053"/>
      <c r="R1120" s="1054"/>
      <c r="S1120" s="1054"/>
      <c r="T1120" s="1054"/>
      <c r="U1120" s="1054"/>
      <c r="V1120" s="1054"/>
      <c r="W1120" s="1054"/>
      <c r="X1120" s="1054"/>
      <c r="Y1120" s="1054"/>
    </row>
    <row r="1121" spans="1:25">
      <c r="A1121" s="1053"/>
      <c r="B1121" s="1053"/>
      <c r="C1121" s="1053"/>
      <c r="D1121" s="1053"/>
      <c r="E1121" s="1053"/>
      <c r="R1121" s="1054"/>
      <c r="S1121" s="1054"/>
      <c r="T1121" s="1054"/>
      <c r="U1121" s="1054"/>
      <c r="V1121" s="1054"/>
      <c r="W1121" s="1054"/>
      <c r="X1121" s="1054"/>
      <c r="Y1121" s="1054"/>
    </row>
    <row r="1122" spans="1:25">
      <c r="A1122" s="1053"/>
      <c r="B1122" s="1053"/>
      <c r="C1122" s="1053"/>
      <c r="D1122" s="1053"/>
      <c r="E1122" s="1053"/>
      <c r="R1122" s="1054"/>
      <c r="S1122" s="1054"/>
      <c r="T1122" s="1054"/>
      <c r="U1122" s="1054"/>
      <c r="V1122" s="1054"/>
      <c r="W1122" s="1054"/>
      <c r="X1122" s="1054"/>
      <c r="Y1122" s="1054"/>
    </row>
    <row r="1123" spans="1:25">
      <c r="A1123" s="1053"/>
      <c r="B1123" s="1053"/>
      <c r="C1123" s="1053"/>
      <c r="D1123" s="1053"/>
      <c r="E1123" s="1053"/>
      <c r="R1123" s="1054"/>
      <c r="S1123" s="1054"/>
      <c r="T1123" s="1054"/>
      <c r="U1123" s="1054"/>
      <c r="V1123" s="1054"/>
      <c r="W1123" s="1054"/>
      <c r="X1123" s="1054"/>
      <c r="Y1123" s="1054"/>
    </row>
    <row r="1124" spans="1:25">
      <c r="A1124" s="1053"/>
      <c r="B1124" s="1053"/>
      <c r="C1124" s="1053"/>
      <c r="D1124" s="1053"/>
      <c r="E1124" s="1053"/>
      <c r="R1124" s="1054"/>
      <c r="S1124" s="1054"/>
      <c r="T1124" s="1054"/>
      <c r="U1124" s="1054"/>
      <c r="V1124" s="1054"/>
      <c r="W1124" s="1054"/>
      <c r="X1124" s="1054"/>
      <c r="Y1124" s="1054"/>
    </row>
    <row r="1125" spans="1:25">
      <c r="A1125" s="1053"/>
      <c r="B1125" s="1053"/>
      <c r="C1125" s="1053"/>
      <c r="D1125" s="1053"/>
      <c r="E1125" s="1053"/>
      <c r="R1125" s="1054"/>
      <c r="S1125" s="1054"/>
      <c r="T1125" s="1054"/>
      <c r="U1125" s="1054"/>
      <c r="V1125" s="1054"/>
      <c r="W1125" s="1054"/>
      <c r="X1125" s="1054"/>
      <c r="Y1125" s="1054"/>
    </row>
    <row r="1126" spans="1:25">
      <c r="A1126" s="1053"/>
      <c r="B1126" s="1053"/>
      <c r="C1126" s="1053"/>
      <c r="D1126" s="1053"/>
      <c r="E1126" s="1053"/>
      <c r="R1126" s="1054"/>
      <c r="S1126" s="1054"/>
      <c r="T1126" s="1054"/>
      <c r="U1126" s="1054"/>
      <c r="V1126" s="1054"/>
      <c r="W1126" s="1054"/>
      <c r="X1126" s="1054"/>
      <c r="Y1126" s="1054"/>
    </row>
    <row r="1127" spans="1:25">
      <c r="A1127" s="1053"/>
      <c r="B1127" s="1053"/>
      <c r="C1127" s="1053"/>
      <c r="D1127" s="1053"/>
      <c r="E1127" s="1053"/>
      <c r="R1127" s="1054"/>
      <c r="S1127" s="1054"/>
      <c r="T1127" s="1054"/>
      <c r="U1127" s="1054"/>
      <c r="V1127" s="1054"/>
      <c r="W1127" s="1054"/>
      <c r="X1127" s="1054"/>
      <c r="Y1127" s="1054"/>
    </row>
    <row r="1128" spans="1:25">
      <c r="A1128" s="1053"/>
      <c r="B1128" s="1053"/>
      <c r="C1128" s="1053"/>
      <c r="D1128" s="1053"/>
      <c r="E1128" s="1053"/>
      <c r="R1128" s="1054"/>
      <c r="S1128" s="1054"/>
      <c r="T1128" s="1054"/>
      <c r="U1128" s="1054"/>
      <c r="V1128" s="1054"/>
      <c r="W1128" s="1054"/>
      <c r="X1128" s="1054"/>
      <c r="Y1128" s="1054"/>
    </row>
    <row r="1129" spans="1:25">
      <c r="A1129" s="1053"/>
      <c r="B1129" s="1053"/>
      <c r="C1129" s="1053"/>
      <c r="D1129" s="1053"/>
      <c r="E1129" s="1053"/>
      <c r="R1129" s="1054"/>
      <c r="S1129" s="1054"/>
      <c r="T1129" s="1054"/>
      <c r="U1129" s="1054"/>
      <c r="V1129" s="1054"/>
      <c r="W1129" s="1054"/>
      <c r="X1129" s="1054"/>
      <c r="Y1129" s="1054"/>
    </row>
    <row r="1130" spans="1:25">
      <c r="A1130" s="1053"/>
      <c r="B1130" s="1053"/>
      <c r="C1130" s="1053"/>
      <c r="D1130" s="1053"/>
      <c r="E1130" s="1053"/>
      <c r="R1130" s="1054"/>
      <c r="S1130" s="1054"/>
      <c r="T1130" s="1054"/>
      <c r="U1130" s="1054"/>
      <c r="V1130" s="1054"/>
      <c r="W1130" s="1054"/>
      <c r="X1130" s="1054"/>
      <c r="Y1130" s="1054"/>
    </row>
    <row r="1131" spans="1:25">
      <c r="A1131" s="1053"/>
      <c r="B1131" s="1053"/>
      <c r="C1131" s="1053"/>
      <c r="D1131" s="1053"/>
      <c r="E1131" s="1053"/>
      <c r="R1131" s="1054"/>
      <c r="S1131" s="1054"/>
      <c r="T1131" s="1054"/>
      <c r="U1131" s="1054"/>
      <c r="V1131" s="1054"/>
      <c r="W1131" s="1054"/>
      <c r="X1131" s="1054"/>
      <c r="Y1131" s="1054"/>
    </row>
    <row r="1132" spans="1:25">
      <c r="A1132" s="1053"/>
      <c r="B1132" s="1053"/>
      <c r="C1132" s="1053"/>
      <c r="D1132" s="1053"/>
      <c r="E1132" s="1053"/>
      <c r="R1132" s="1054"/>
      <c r="S1132" s="1054"/>
      <c r="T1132" s="1054"/>
      <c r="U1132" s="1054"/>
      <c r="V1132" s="1054"/>
      <c r="W1132" s="1054"/>
      <c r="X1132" s="1054"/>
      <c r="Y1132" s="1054"/>
    </row>
    <row r="1133" spans="1:25">
      <c r="A1133" s="1053"/>
      <c r="B1133" s="1053"/>
      <c r="C1133" s="1053"/>
      <c r="D1133" s="1053"/>
      <c r="E1133" s="1053"/>
      <c r="R1133" s="1054"/>
      <c r="S1133" s="1054"/>
      <c r="T1133" s="1054"/>
      <c r="U1133" s="1054"/>
      <c r="V1133" s="1054"/>
      <c r="W1133" s="1054"/>
      <c r="X1133" s="1054"/>
      <c r="Y1133" s="1054"/>
    </row>
    <row r="1134" spans="1:25">
      <c r="A1134" s="1053"/>
      <c r="B1134" s="1053"/>
      <c r="C1134" s="1053"/>
      <c r="D1134" s="1053"/>
      <c r="E1134" s="1053"/>
      <c r="R1134" s="1054"/>
      <c r="S1134" s="1054"/>
      <c r="T1134" s="1054"/>
      <c r="U1134" s="1054"/>
      <c r="V1134" s="1054"/>
      <c r="W1134" s="1054"/>
      <c r="X1134" s="1054"/>
      <c r="Y1134" s="1054"/>
    </row>
    <row r="1135" spans="1:25">
      <c r="A1135" s="1053"/>
      <c r="B1135" s="1053"/>
      <c r="C1135" s="1053"/>
      <c r="D1135" s="1053"/>
      <c r="E1135" s="1053"/>
      <c r="R1135" s="1054"/>
      <c r="S1135" s="1054"/>
      <c r="T1135" s="1054"/>
      <c r="U1135" s="1054"/>
      <c r="V1135" s="1054"/>
      <c r="W1135" s="1054"/>
      <c r="X1135" s="1054"/>
      <c r="Y1135" s="1054"/>
    </row>
    <row r="1136" spans="1:25">
      <c r="A1136" s="1053"/>
      <c r="B1136" s="1053"/>
      <c r="C1136" s="1053"/>
      <c r="D1136" s="1053"/>
      <c r="E1136" s="1053"/>
      <c r="R1136" s="1054"/>
      <c r="S1136" s="1054"/>
      <c r="T1136" s="1054"/>
      <c r="U1136" s="1054"/>
      <c r="V1136" s="1054"/>
      <c r="W1136" s="1054"/>
      <c r="X1136" s="1054"/>
      <c r="Y1136" s="1054"/>
    </row>
    <row r="1137" spans="1:25">
      <c r="A1137" s="1053"/>
      <c r="B1137" s="1053"/>
      <c r="C1137" s="1053"/>
      <c r="D1137" s="1053"/>
      <c r="E1137" s="1053"/>
      <c r="R1137" s="1054"/>
      <c r="S1137" s="1054"/>
      <c r="T1137" s="1054"/>
      <c r="U1137" s="1054"/>
      <c r="V1137" s="1054"/>
      <c r="W1137" s="1054"/>
      <c r="X1137" s="1054"/>
      <c r="Y1137" s="1054"/>
    </row>
    <row r="1138" spans="1:25">
      <c r="A1138" s="1053"/>
      <c r="B1138" s="1053"/>
      <c r="C1138" s="1053"/>
      <c r="D1138" s="1053"/>
      <c r="E1138" s="1053"/>
      <c r="R1138" s="1054"/>
      <c r="S1138" s="1054"/>
      <c r="T1138" s="1054"/>
      <c r="U1138" s="1054"/>
      <c r="V1138" s="1054"/>
      <c r="W1138" s="1054"/>
      <c r="X1138" s="1054"/>
      <c r="Y1138" s="1054"/>
    </row>
    <row r="1139" spans="1:25">
      <c r="A1139" s="1053"/>
      <c r="B1139" s="1053"/>
      <c r="C1139" s="1053"/>
      <c r="D1139" s="1053"/>
      <c r="E1139" s="1053"/>
      <c r="R1139" s="1054"/>
      <c r="S1139" s="1054"/>
      <c r="T1139" s="1054"/>
      <c r="U1139" s="1054"/>
      <c r="V1139" s="1054"/>
      <c r="W1139" s="1054"/>
      <c r="X1139" s="1054"/>
      <c r="Y1139" s="1054"/>
    </row>
    <row r="1140" spans="1:25">
      <c r="A1140" s="1053"/>
      <c r="B1140" s="1053"/>
      <c r="C1140" s="1053"/>
      <c r="D1140" s="1053"/>
      <c r="E1140" s="1053"/>
      <c r="R1140" s="1054"/>
      <c r="S1140" s="1054"/>
      <c r="T1140" s="1054"/>
      <c r="U1140" s="1054"/>
      <c r="V1140" s="1054"/>
      <c r="W1140" s="1054"/>
      <c r="X1140" s="1054"/>
      <c r="Y1140" s="1054"/>
    </row>
    <row r="1141" spans="1:25">
      <c r="A1141" s="1053"/>
      <c r="B1141" s="1053"/>
      <c r="C1141" s="1053"/>
      <c r="D1141" s="1053"/>
      <c r="E1141" s="1053"/>
      <c r="R1141" s="1054"/>
      <c r="S1141" s="1054"/>
      <c r="T1141" s="1054"/>
      <c r="U1141" s="1054"/>
      <c r="V1141" s="1054"/>
      <c r="W1141" s="1054"/>
      <c r="X1141" s="1054"/>
      <c r="Y1141" s="1054"/>
    </row>
    <row r="1142" spans="1:25">
      <c r="A1142" s="1053"/>
      <c r="B1142" s="1053"/>
      <c r="C1142" s="1053"/>
      <c r="D1142" s="1053"/>
      <c r="E1142" s="1053"/>
      <c r="R1142" s="1054"/>
      <c r="S1142" s="1054"/>
      <c r="T1142" s="1054"/>
      <c r="U1142" s="1054"/>
      <c r="V1142" s="1054"/>
      <c r="W1142" s="1054"/>
      <c r="X1142" s="1054"/>
      <c r="Y1142" s="1054"/>
    </row>
    <row r="1143" spans="1:25">
      <c r="A1143" s="1053"/>
      <c r="B1143" s="1053"/>
      <c r="C1143" s="1053"/>
      <c r="D1143" s="1053"/>
      <c r="E1143" s="1053"/>
      <c r="R1143" s="1054"/>
      <c r="S1143" s="1054"/>
      <c r="T1143" s="1054"/>
      <c r="U1143" s="1054"/>
      <c r="V1143" s="1054"/>
      <c r="W1143" s="1054"/>
      <c r="X1143" s="1054"/>
      <c r="Y1143" s="1054"/>
    </row>
    <row r="1144" spans="1:25">
      <c r="A1144" s="1053"/>
      <c r="B1144" s="1053"/>
      <c r="C1144" s="1053"/>
      <c r="D1144" s="1053"/>
      <c r="E1144" s="1053"/>
      <c r="R1144" s="1054"/>
      <c r="S1144" s="1054"/>
      <c r="T1144" s="1054"/>
      <c r="U1144" s="1054"/>
      <c r="V1144" s="1054"/>
      <c r="W1144" s="1054"/>
      <c r="X1144" s="1054"/>
      <c r="Y1144" s="1054"/>
    </row>
    <row r="1145" spans="1:25">
      <c r="A1145" s="1053"/>
      <c r="B1145" s="1053"/>
      <c r="C1145" s="1053"/>
      <c r="D1145" s="1053"/>
      <c r="E1145" s="1053"/>
      <c r="R1145" s="1054"/>
      <c r="S1145" s="1054"/>
      <c r="T1145" s="1054"/>
      <c r="U1145" s="1054"/>
      <c r="V1145" s="1054"/>
      <c r="W1145" s="1054"/>
      <c r="X1145" s="1054"/>
      <c r="Y1145" s="1054"/>
    </row>
    <row r="1146" spans="1:25">
      <c r="A1146" s="1053"/>
      <c r="B1146" s="1053"/>
      <c r="C1146" s="1053"/>
      <c r="D1146" s="1053"/>
      <c r="E1146" s="1053"/>
      <c r="R1146" s="1054"/>
      <c r="S1146" s="1054"/>
      <c r="T1146" s="1054"/>
      <c r="U1146" s="1054"/>
      <c r="V1146" s="1054"/>
      <c r="W1146" s="1054"/>
      <c r="X1146" s="1054"/>
      <c r="Y1146" s="1054"/>
    </row>
    <row r="1147" spans="1:25">
      <c r="A1147" s="1053"/>
      <c r="B1147" s="1053"/>
      <c r="C1147" s="1053"/>
      <c r="D1147" s="1053"/>
      <c r="E1147" s="1053"/>
      <c r="R1147" s="1054"/>
      <c r="S1147" s="1054"/>
      <c r="T1147" s="1054"/>
      <c r="U1147" s="1054"/>
      <c r="V1147" s="1054"/>
      <c r="W1147" s="1054"/>
      <c r="X1147" s="1054"/>
      <c r="Y1147" s="1054"/>
    </row>
    <row r="1148" spans="1:25">
      <c r="A1148" s="1053"/>
      <c r="B1148" s="1053"/>
      <c r="C1148" s="1053"/>
      <c r="D1148" s="1053"/>
      <c r="E1148" s="1053"/>
      <c r="R1148" s="1054"/>
      <c r="S1148" s="1054"/>
      <c r="T1148" s="1054"/>
      <c r="U1148" s="1054"/>
      <c r="V1148" s="1054"/>
      <c r="W1148" s="1054"/>
      <c r="X1148" s="1054"/>
      <c r="Y1148" s="1054"/>
    </row>
    <row r="1149" spans="1:25">
      <c r="A1149" s="1053"/>
      <c r="B1149" s="1053"/>
      <c r="C1149" s="1053"/>
      <c r="D1149" s="1053"/>
      <c r="E1149" s="1053"/>
      <c r="R1149" s="1054"/>
      <c r="S1149" s="1054"/>
      <c r="T1149" s="1054"/>
      <c r="U1149" s="1054"/>
      <c r="V1149" s="1054"/>
      <c r="W1149" s="1054"/>
      <c r="X1149" s="1054"/>
      <c r="Y1149" s="1054"/>
    </row>
    <row r="1150" spans="1:25">
      <c r="A1150" s="1053"/>
      <c r="B1150" s="1053"/>
      <c r="C1150" s="1053"/>
      <c r="D1150" s="1053"/>
      <c r="E1150" s="1053"/>
      <c r="R1150" s="1054"/>
      <c r="S1150" s="1054"/>
      <c r="T1150" s="1054"/>
      <c r="U1150" s="1054"/>
      <c r="V1150" s="1054"/>
      <c r="W1150" s="1054"/>
      <c r="X1150" s="1054"/>
      <c r="Y1150" s="1054"/>
    </row>
    <row r="1151" spans="1:25">
      <c r="A1151" s="1053"/>
      <c r="B1151" s="1053"/>
      <c r="C1151" s="1053"/>
      <c r="D1151" s="1053"/>
      <c r="E1151" s="1053"/>
      <c r="R1151" s="1054"/>
      <c r="S1151" s="1054"/>
      <c r="T1151" s="1054"/>
      <c r="U1151" s="1054"/>
      <c r="V1151" s="1054"/>
      <c r="W1151" s="1054"/>
      <c r="X1151" s="1054"/>
      <c r="Y1151" s="1054"/>
    </row>
    <row r="1152" spans="1:25">
      <c r="A1152" s="1053"/>
      <c r="B1152" s="1053"/>
      <c r="C1152" s="1053"/>
      <c r="D1152" s="1053"/>
      <c r="E1152" s="1053"/>
      <c r="R1152" s="1054"/>
      <c r="S1152" s="1054"/>
      <c r="T1152" s="1054"/>
      <c r="U1152" s="1054"/>
      <c r="V1152" s="1054"/>
      <c r="W1152" s="1054"/>
      <c r="X1152" s="1054"/>
      <c r="Y1152" s="1054"/>
    </row>
    <row r="1153" spans="1:25">
      <c r="A1153" s="1053"/>
      <c r="B1153" s="1053"/>
      <c r="C1153" s="1053"/>
      <c r="D1153" s="1053"/>
      <c r="E1153" s="1053"/>
      <c r="R1153" s="1054"/>
      <c r="S1153" s="1054"/>
      <c r="T1153" s="1054"/>
      <c r="U1153" s="1054"/>
      <c r="V1153" s="1054"/>
      <c r="W1153" s="1054"/>
      <c r="X1153" s="1054"/>
      <c r="Y1153" s="1054"/>
    </row>
    <row r="1154" spans="1:25">
      <c r="A1154" s="1053"/>
      <c r="B1154" s="1053"/>
      <c r="C1154" s="1053"/>
      <c r="D1154" s="1053"/>
      <c r="E1154" s="1053"/>
      <c r="R1154" s="1054"/>
      <c r="S1154" s="1054"/>
      <c r="T1154" s="1054"/>
      <c r="U1154" s="1054"/>
      <c r="V1154" s="1054"/>
      <c r="W1154" s="1054"/>
      <c r="X1154" s="1054"/>
      <c r="Y1154" s="1054"/>
    </row>
    <row r="1155" spans="1:25">
      <c r="A1155" s="1053"/>
      <c r="B1155" s="1053"/>
      <c r="C1155" s="1053"/>
      <c r="D1155" s="1053"/>
      <c r="E1155" s="1053"/>
      <c r="R1155" s="1054"/>
      <c r="S1155" s="1054"/>
      <c r="T1155" s="1054"/>
      <c r="U1155" s="1054"/>
      <c r="V1155" s="1054"/>
      <c r="W1155" s="1054"/>
      <c r="X1155" s="1054"/>
      <c r="Y1155" s="1054"/>
    </row>
    <row r="1156" spans="1:25">
      <c r="A1156" s="1053"/>
      <c r="B1156" s="1053"/>
      <c r="C1156" s="1053"/>
      <c r="D1156" s="1053"/>
      <c r="E1156" s="1053"/>
      <c r="R1156" s="1054"/>
      <c r="S1156" s="1054"/>
      <c r="T1156" s="1054"/>
      <c r="U1156" s="1054"/>
      <c r="V1156" s="1054"/>
      <c r="W1156" s="1054"/>
      <c r="X1156" s="1054"/>
      <c r="Y1156" s="1054"/>
    </row>
    <row r="1157" spans="1:25">
      <c r="A1157" s="1053"/>
      <c r="B1157" s="1053"/>
      <c r="C1157" s="1053"/>
      <c r="D1157" s="1053"/>
      <c r="E1157" s="1053"/>
      <c r="R1157" s="1054"/>
      <c r="S1157" s="1054"/>
      <c r="T1157" s="1054"/>
      <c r="U1157" s="1054"/>
      <c r="V1157" s="1054"/>
      <c r="W1157" s="1054"/>
      <c r="X1157" s="1054"/>
      <c r="Y1157" s="1054"/>
    </row>
    <row r="1158" spans="1:25">
      <c r="A1158" s="1053"/>
      <c r="B1158" s="1053"/>
      <c r="C1158" s="1053"/>
      <c r="D1158" s="1053"/>
      <c r="E1158" s="1053"/>
      <c r="R1158" s="1054"/>
      <c r="S1158" s="1054"/>
      <c r="T1158" s="1054"/>
      <c r="U1158" s="1054"/>
      <c r="V1158" s="1054"/>
      <c r="W1158" s="1054"/>
      <c r="X1158" s="1054"/>
      <c r="Y1158" s="1054"/>
    </row>
    <row r="1159" spans="1:25">
      <c r="A1159" s="1053"/>
      <c r="B1159" s="1053"/>
      <c r="C1159" s="1053"/>
      <c r="D1159" s="1053"/>
      <c r="E1159" s="1053"/>
      <c r="R1159" s="1054"/>
      <c r="S1159" s="1054"/>
      <c r="T1159" s="1054"/>
      <c r="U1159" s="1054"/>
      <c r="V1159" s="1054"/>
      <c r="W1159" s="1054"/>
      <c r="X1159" s="1054"/>
      <c r="Y1159" s="1054"/>
    </row>
    <row r="1160" spans="1:25">
      <c r="A1160" s="1053"/>
      <c r="B1160" s="1053"/>
      <c r="C1160" s="1053"/>
      <c r="D1160" s="1053"/>
      <c r="E1160" s="1053"/>
      <c r="R1160" s="1054"/>
      <c r="S1160" s="1054"/>
      <c r="T1160" s="1054"/>
      <c r="U1160" s="1054"/>
      <c r="V1160" s="1054"/>
      <c r="W1160" s="1054"/>
      <c r="X1160" s="1054"/>
      <c r="Y1160" s="1054"/>
    </row>
    <row r="1161" spans="1:25">
      <c r="A1161" s="1053"/>
      <c r="B1161" s="1053"/>
      <c r="C1161" s="1053"/>
      <c r="D1161" s="1053"/>
      <c r="E1161" s="1053"/>
      <c r="R1161" s="1054"/>
      <c r="S1161" s="1054"/>
      <c r="T1161" s="1054"/>
      <c r="U1161" s="1054"/>
      <c r="V1161" s="1054"/>
      <c r="W1161" s="1054"/>
      <c r="X1161" s="1054"/>
      <c r="Y1161" s="1054"/>
    </row>
    <row r="1162" spans="1:25">
      <c r="A1162" s="1053"/>
      <c r="B1162" s="1053"/>
      <c r="C1162" s="1053"/>
      <c r="D1162" s="1053"/>
      <c r="E1162" s="1053"/>
      <c r="R1162" s="1054"/>
      <c r="S1162" s="1054"/>
      <c r="T1162" s="1054"/>
      <c r="U1162" s="1054"/>
      <c r="V1162" s="1054"/>
      <c r="W1162" s="1054"/>
      <c r="X1162" s="1054"/>
      <c r="Y1162" s="1054"/>
    </row>
    <row r="1163" spans="1:25">
      <c r="A1163" s="1053"/>
      <c r="B1163" s="1053"/>
      <c r="C1163" s="1053"/>
      <c r="D1163" s="1053"/>
      <c r="E1163" s="1053"/>
      <c r="R1163" s="1054"/>
      <c r="S1163" s="1054"/>
      <c r="T1163" s="1054"/>
      <c r="U1163" s="1054"/>
      <c r="V1163" s="1054"/>
      <c r="W1163" s="1054"/>
      <c r="X1163" s="1054"/>
      <c r="Y1163" s="1054"/>
    </row>
    <row r="1164" spans="1:25">
      <c r="A1164" s="1053"/>
      <c r="B1164" s="1053"/>
      <c r="C1164" s="1053"/>
      <c r="D1164" s="1053"/>
      <c r="E1164" s="1053"/>
      <c r="R1164" s="1054"/>
      <c r="S1164" s="1054"/>
      <c r="T1164" s="1054"/>
      <c r="U1164" s="1054"/>
      <c r="V1164" s="1054"/>
      <c r="W1164" s="1054"/>
      <c r="X1164" s="1054"/>
      <c r="Y1164" s="1054"/>
    </row>
    <row r="1165" spans="1:25">
      <c r="A1165" s="1053"/>
      <c r="B1165" s="1053"/>
      <c r="C1165" s="1053"/>
      <c r="D1165" s="1053"/>
      <c r="E1165" s="1053"/>
      <c r="R1165" s="1054"/>
      <c r="S1165" s="1054"/>
      <c r="T1165" s="1054"/>
      <c r="U1165" s="1054"/>
      <c r="V1165" s="1054"/>
      <c r="W1165" s="1054"/>
      <c r="X1165" s="1054"/>
      <c r="Y1165" s="1054"/>
    </row>
    <row r="1166" spans="1:25">
      <c r="A1166" s="1053"/>
      <c r="B1166" s="1053"/>
      <c r="C1166" s="1053"/>
      <c r="D1166" s="1053"/>
      <c r="E1166" s="1053"/>
      <c r="R1166" s="1054"/>
      <c r="S1166" s="1054"/>
      <c r="T1166" s="1054"/>
      <c r="U1166" s="1054"/>
      <c r="V1166" s="1054"/>
      <c r="W1166" s="1054"/>
      <c r="X1166" s="1054"/>
      <c r="Y1166" s="1054"/>
    </row>
    <row r="1167" spans="1:25">
      <c r="A1167" s="1053"/>
      <c r="B1167" s="1053"/>
      <c r="C1167" s="1053"/>
      <c r="D1167" s="1053"/>
      <c r="E1167" s="1053"/>
      <c r="R1167" s="1054"/>
      <c r="S1167" s="1054"/>
      <c r="T1167" s="1054"/>
      <c r="U1167" s="1054"/>
      <c r="V1167" s="1054"/>
      <c r="W1167" s="1054"/>
      <c r="X1167" s="1054"/>
      <c r="Y1167" s="1054"/>
    </row>
    <row r="1168" spans="1:25">
      <c r="A1168" s="1053"/>
      <c r="B1168" s="1053"/>
      <c r="C1168" s="1053"/>
      <c r="D1168" s="1053"/>
      <c r="E1168" s="1053"/>
      <c r="R1168" s="1054"/>
      <c r="S1168" s="1054"/>
      <c r="T1168" s="1054"/>
      <c r="U1168" s="1054"/>
      <c r="V1168" s="1054"/>
      <c r="W1168" s="1054"/>
      <c r="X1168" s="1054"/>
      <c r="Y1168" s="1054"/>
    </row>
    <row r="1169" spans="1:25">
      <c r="A1169" s="1053"/>
      <c r="B1169" s="1053"/>
      <c r="C1169" s="1053"/>
      <c r="D1169" s="1053"/>
      <c r="E1169" s="1053"/>
      <c r="R1169" s="1054"/>
      <c r="S1169" s="1054"/>
      <c r="T1169" s="1054"/>
      <c r="U1169" s="1054"/>
      <c r="V1169" s="1054"/>
      <c r="W1169" s="1054"/>
      <c r="X1169" s="1054"/>
      <c r="Y1169" s="1054"/>
    </row>
    <row r="1170" spans="1:25">
      <c r="A1170" s="1053"/>
      <c r="B1170" s="1053"/>
      <c r="C1170" s="1053"/>
      <c r="D1170" s="1053"/>
      <c r="E1170" s="1053"/>
      <c r="R1170" s="1054"/>
      <c r="S1170" s="1054"/>
      <c r="T1170" s="1054"/>
      <c r="U1170" s="1054"/>
      <c r="V1170" s="1054"/>
      <c r="W1170" s="1054"/>
      <c r="X1170" s="1054"/>
      <c r="Y1170" s="1054"/>
    </row>
    <row r="1171" spans="1:25">
      <c r="A1171" s="1053"/>
      <c r="B1171" s="1053"/>
      <c r="C1171" s="1053"/>
      <c r="D1171" s="1053"/>
      <c r="E1171" s="1053"/>
      <c r="R1171" s="1054"/>
      <c r="S1171" s="1054"/>
      <c r="T1171" s="1054"/>
      <c r="U1171" s="1054"/>
      <c r="V1171" s="1054"/>
      <c r="W1171" s="1054"/>
      <c r="X1171" s="1054"/>
      <c r="Y1171" s="1054"/>
    </row>
    <row r="1172" spans="1:25">
      <c r="A1172" s="1053"/>
      <c r="B1172" s="1053"/>
      <c r="C1172" s="1053"/>
      <c r="D1172" s="1053"/>
      <c r="E1172" s="1053"/>
      <c r="R1172" s="1054"/>
      <c r="S1172" s="1054"/>
      <c r="T1172" s="1054"/>
      <c r="U1172" s="1054"/>
      <c r="V1172" s="1054"/>
      <c r="W1172" s="1054"/>
      <c r="X1172" s="1054"/>
      <c r="Y1172" s="1054"/>
    </row>
    <row r="1173" spans="1:25">
      <c r="A1173" s="1053"/>
      <c r="B1173" s="1053"/>
      <c r="C1173" s="1053"/>
      <c r="D1173" s="1053"/>
      <c r="E1173" s="1053"/>
      <c r="R1173" s="1054"/>
      <c r="S1173" s="1054"/>
      <c r="T1173" s="1054"/>
      <c r="U1173" s="1054"/>
      <c r="V1173" s="1054"/>
      <c r="W1173" s="1054"/>
      <c r="X1173" s="1054"/>
      <c r="Y1173" s="1054"/>
    </row>
    <row r="1174" spans="1:25">
      <c r="A1174" s="1053"/>
      <c r="B1174" s="1053"/>
      <c r="C1174" s="1053"/>
      <c r="D1174" s="1053"/>
      <c r="E1174" s="1053"/>
      <c r="R1174" s="1054"/>
      <c r="S1174" s="1054"/>
      <c r="T1174" s="1054"/>
      <c r="U1174" s="1054"/>
      <c r="V1174" s="1054"/>
      <c r="W1174" s="1054"/>
      <c r="X1174" s="1054"/>
      <c r="Y1174" s="1054"/>
    </row>
    <row r="1175" spans="1:25">
      <c r="A1175" s="1053"/>
      <c r="B1175" s="1053"/>
      <c r="C1175" s="1053"/>
      <c r="D1175" s="1053"/>
      <c r="E1175" s="1053"/>
      <c r="R1175" s="1054"/>
      <c r="S1175" s="1054"/>
      <c r="T1175" s="1054"/>
      <c r="U1175" s="1054"/>
      <c r="V1175" s="1054"/>
      <c r="W1175" s="1054"/>
      <c r="X1175" s="1054"/>
      <c r="Y1175" s="1054"/>
    </row>
    <row r="1176" spans="1:25">
      <c r="A1176" s="1053"/>
      <c r="B1176" s="1053"/>
      <c r="C1176" s="1053"/>
      <c r="D1176" s="1053"/>
      <c r="E1176" s="1053"/>
      <c r="R1176" s="1054"/>
      <c r="S1176" s="1054"/>
      <c r="T1176" s="1054"/>
      <c r="U1176" s="1054"/>
      <c r="V1176" s="1054"/>
      <c r="W1176" s="1054"/>
      <c r="X1176" s="1054"/>
      <c r="Y1176" s="1054"/>
    </row>
    <row r="1177" spans="1:25">
      <c r="A1177" s="1053"/>
      <c r="B1177" s="1053"/>
      <c r="C1177" s="1053"/>
      <c r="D1177" s="1053"/>
      <c r="E1177" s="1053"/>
      <c r="R1177" s="1054"/>
      <c r="S1177" s="1054"/>
      <c r="T1177" s="1054"/>
      <c r="U1177" s="1054"/>
      <c r="V1177" s="1054"/>
      <c r="W1177" s="1054"/>
      <c r="X1177" s="1054"/>
      <c r="Y1177" s="1054"/>
    </row>
    <row r="1178" spans="1:25">
      <c r="A1178" s="1053"/>
      <c r="B1178" s="1053"/>
      <c r="C1178" s="1053"/>
      <c r="D1178" s="1053"/>
      <c r="E1178" s="1053"/>
      <c r="R1178" s="1054"/>
      <c r="S1178" s="1054"/>
      <c r="T1178" s="1054"/>
      <c r="U1178" s="1054"/>
      <c r="V1178" s="1054"/>
      <c r="W1178" s="1054"/>
      <c r="X1178" s="1054"/>
      <c r="Y1178" s="1054"/>
    </row>
    <row r="1179" spans="1:25">
      <c r="A1179" s="1053"/>
      <c r="B1179" s="1053"/>
      <c r="C1179" s="1053"/>
      <c r="D1179" s="1053"/>
      <c r="E1179" s="1053"/>
      <c r="R1179" s="1054"/>
      <c r="S1179" s="1054"/>
      <c r="T1179" s="1054"/>
      <c r="U1179" s="1054"/>
      <c r="V1179" s="1054"/>
      <c r="W1179" s="1054"/>
      <c r="X1179" s="1054"/>
      <c r="Y1179" s="1054"/>
    </row>
    <row r="1180" spans="1:25">
      <c r="A1180" s="1053"/>
      <c r="B1180" s="1053"/>
      <c r="C1180" s="1053"/>
      <c r="D1180" s="1053"/>
      <c r="E1180" s="1053"/>
      <c r="R1180" s="1054"/>
      <c r="S1180" s="1054"/>
      <c r="T1180" s="1054"/>
      <c r="U1180" s="1054"/>
      <c r="V1180" s="1054"/>
      <c r="W1180" s="1054"/>
      <c r="X1180" s="1054"/>
      <c r="Y1180" s="1054"/>
    </row>
    <row r="1181" spans="1:25">
      <c r="A1181" s="1053"/>
      <c r="B1181" s="1053"/>
      <c r="C1181" s="1053"/>
      <c r="D1181" s="1053"/>
      <c r="E1181" s="1053"/>
      <c r="R1181" s="1054"/>
      <c r="S1181" s="1054"/>
      <c r="T1181" s="1054"/>
      <c r="U1181" s="1054"/>
      <c r="V1181" s="1054"/>
      <c r="W1181" s="1054"/>
      <c r="X1181" s="1054"/>
      <c r="Y1181" s="1054"/>
    </row>
    <row r="1182" spans="1:25">
      <c r="A1182" s="1053"/>
      <c r="B1182" s="1053"/>
      <c r="C1182" s="1053"/>
      <c r="D1182" s="1053"/>
      <c r="E1182" s="1053"/>
      <c r="R1182" s="1054"/>
      <c r="S1182" s="1054"/>
      <c r="T1182" s="1054"/>
      <c r="U1182" s="1054"/>
      <c r="V1182" s="1054"/>
      <c r="W1182" s="1054"/>
      <c r="X1182" s="1054"/>
      <c r="Y1182" s="1054"/>
    </row>
    <row r="1183" spans="1:25">
      <c r="A1183" s="1053"/>
      <c r="B1183" s="1053"/>
      <c r="C1183" s="1053"/>
      <c r="D1183" s="1053"/>
      <c r="E1183" s="1053"/>
      <c r="R1183" s="1054"/>
      <c r="S1183" s="1054"/>
      <c r="T1183" s="1054"/>
      <c r="U1183" s="1054"/>
      <c r="V1183" s="1054"/>
      <c r="W1183" s="1054"/>
      <c r="X1183" s="1054"/>
      <c r="Y1183" s="1054"/>
    </row>
    <row r="1184" spans="1:25">
      <c r="A1184" s="1053"/>
      <c r="B1184" s="1053"/>
      <c r="C1184" s="1053"/>
      <c r="D1184" s="1053"/>
      <c r="E1184" s="1053"/>
      <c r="R1184" s="1054"/>
      <c r="S1184" s="1054"/>
      <c r="T1184" s="1054"/>
      <c r="U1184" s="1054"/>
      <c r="V1184" s="1054"/>
      <c r="W1184" s="1054"/>
      <c r="X1184" s="1054"/>
      <c r="Y1184" s="1054"/>
    </row>
    <row r="1185" spans="1:25">
      <c r="A1185" s="1053"/>
      <c r="B1185" s="1053"/>
      <c r="C1185" s="1053"/>
      <c r="D1185" s="1053"/>
      <c r="E1185" s="1053"/>
      <c r="R1185" s="1054"/>
      <c r="S1185" s="1054"/>
      <c r="T1185" s="1054"/>
      <c r="U1185" s="1054"/>
      <c r="V1185" s="1054"/>
      <c r="W1185" s="1054"/>
      <c r="X1185" s="1054"/>
      <c r="Y1185" s="1054"/>
    </row>
    <row r="1186" spans="1:25">
      <c r="A1186" s="1053"/>
      <c r="B1186" s="1053"/>
      <c r="C1186" s="1053"/>
      <c r="D1186" s="1053"/>
      <c r="E1186" s="1053"/>
      <c r="R1186" s="1054"/>
      <c r="S1186" s="1054"/>
      <c r="T1186" s="1054"/>
      <c r="U1186" s="1054"/>
      <c r="V1186" s="1054"/>
      <c r="W1186" s="1054"/>
      <c r="X1186" s="1054"/>
      <c r="Y1186" s="1054"/>
    </row>
    <row r="1187" spans="1:25">
      <c r="A1187" s="1053"/>
      <c r="B1187" s="1053"/>
      <c r="C1187" s="1053"/>
      <c r="D1187" s="1053"/>
      <c r="E1187" s="1053"/>
      <c r="R1187" s="1054"/>
      <c r="S1187" s="1054"/>
      <c r="T1187" s="1054"/>
      <c r="U1187" s="1054"/>
      <c r="V1187" s="1054"/>
      <c r="W1187" s="1054"/>
      <c r="X1187" s="1054"/>
      <c r="Y1187" s="1054"/>
    </row>
    <row r="1188" spans="1:25">
      <c r="A1188" s="1053"/>
      <c r="B1188" s="1053"/>
      <c r="C1188" s="1053"/>
      <c r="D1188" s="1053"/>
      <c r="E1188" s="1053"/>
      <c r="R1188" s="1054"/>
      <c r="S1188" s="1054"/>
      <c r="T1188" s="1054"/>
      <c r="U1188" s="1054"/>
      <c r="V1188" s="1054"/>
      <c r="W1188" s="1054"/>
      <c r="X1188" s="1054"/>
      <c r="Y1188" s="1054"/>
    </row>
    <row r="1189" spans="1:25">
      <c r="A1189" s="1053"/>
      <c r="B1189" s="1053"/>
      <c r="C1189" s="1053"/>
      <c r="D1189" s="1053"/>
      <c r="E1189" s="1053"/>
      <c r="R1189" s="1054"/>
      <c r="S1189" s="1054"/>
      <c r="T1189" s="1054"/>
      <c r="U1189" s="1054"/>
      <c r="V1189" s="1054"/>
      <c r="W1189" s="1054"/>
      <c r="X1189" s="1054"/>
      <c r="Y1189" s="1054"/>
    </row>
    <row r="1190" spans="1:25">
      <c r="A1190" s="1053"/>
      <c r="B1190" s="1053"/>
      <c r="C1190" s="1053"/>
      <c r="D1190" s="1053"/>
      <c r="E1190" s="1053"/>
      <c r="R1190" s="1054"/>
      <c r="S1190" s="1054"/>
      <c r="T1190" s="1054"/>
      <c r="U1190" s="1054"/>
      <c r="V1190" s="1054"/>
      <c r="W1190" s="1054"/>
      <c r="X1190" s="1054"/>
      <c r="Y1190" s="1054"/>
    </row>
    <row r="1191" spans="1:25">
      <c r="A1191" s="1053"/>
      <c r="B1191" s="1053"/>
      <c r="C1191" s="1053"/>
      <c r="D1191" s="1053"/>
      <c r="E1191" s="1053"/>
      <c r="R1191" s="1054"/>
      <c r="S1191" s="1054"/>
      <c r="T1191" s="1054"/>
      <c r="U1191" s="1054"/>
      <c r="V1191" s="1054"/>
      <c r="W1191" s="1054"/>
      <c r="X1191" s="1054"/>
      <c r="Y1191" s="1054"/>
    </row>
    <row r="1192" spans="1:25">
      <c r="A1192" s="1053"/>
      <c r="B1192" s="1053"/>
      <c r="C1192" s="1053"/>
      <c r="D1192" s="1053"/>
      <c r="E1192" s="1053"/>
      <c r="R1192" s="1054"/>
      <c r="S1192" s="1054"/>
      <c r="T1192" s="1054"/>
      <c r="U1192" s="1054"/>
      <c r="V1192" s="1054"/>
      <c r="W1192" s="1054"/>
      <c r="X1192" s="1054"/>
      <c r="Y1192" s="1054"/>
    </row>
    <row r="1193" spans="1:25">
      <c r="A1193" s="1053"/>
      <c r="B1193" s="1053"/>
      <c r="C1193" s="1053"/>
      <c r="D1193" s="1053"/>
      <c r="E1193" s="1053"/>
      <c r="R1193" s="1054"/>
      <c r="S1193" s="1054"/>
      <c r="T1193" s="1054"/>
      <c r="U1193" s="1054"/>
      <c r="V1193" s="1054"/>
      <c r="W1193" s="1054"/>
      <c r="X1193" s="1054"/>
      <c r="Y1193" s="1054"/>
    </row>
    <row r="1194" spans="1:25">
      <c r="A1194" s="1053"/>
      <c r="B1194" s="1053"/>
      <c r="C1194" s="1053"/>
      <c r="D1194" s="1053"/>
      <c r="E1194" s="1053"/>
      <c r="R1194" s="1054"/>
      <c r="S1194" s="1054"/>
      <c r="T1194" s="1054"/>
      <c r="U1194" s="1054"/>
      <c r="V1194" s="1054"/>
      <c r="W1194" s="1054"/>
      <c r="X1194" s="1054"/>
      <c r="Y1194" s="1054"/>
    </row>
    <row r="1195" spans="1:25">
      <c r="A1195" s="1053"/>
      <c r="B1195" s="1053"/>
      <c r="C1195" s="1053"/>
      <c r="D1195" s="1053"/>
      <c r="E1195" s="1053"/>
      <c r="R1195" s="1054"/>
      <c r="S1195" s="1054"/>
      <c r="T1195" s="1054"/>
      <c r="U1195" s="1054"/>
      <c r="V1195" s="1054"/>
      <c r="W1195" s="1054"/>
      <c r="X1195" s="1054"/>
      <c r="Y1195" s="1054"/>
    </row>
    <row r="1196" spans="1:25">
      <c r="A1196" s="1053"/>
      <c r="B1196" s="1053"/>
      <c r="C1196" s="1053"/>
      <c r="D1196" s="1053"/>
      <c r="E1196" s="1053"/>
      <c r="R1196" s="1054"/>
      <c r="S1196" s="1054"/>
      <c r="T1196" s="1054"/>
      <c r="U1196" s="1054"/>
      <c r="V1196" s="1054"/>
      <c r="W1196" s="1054"/>
      <c r="X1196" s="1054"/>
      <c r="Y1196" s="1054"/>
    </row>
    <row r="1197" spans="1:25">
      <c r="A1197" s="1053"/>
      <c r="B1197" s="1053"/>
      <c r="C1197" s="1053"/>
      <c r="D1197" s="1053"/>
      <c r="E1197" s="1053"/>
      <c r="R1197" s="1054"/>
      <c r="S1197" s="1054"/>
      <c r="T1197" s="1054"/>
      <c r="U1197" s="1054"/>
      <c r="V1197" s="1054"/>
      <c r="W1197" s="1054"/>
      <c r="X1197" s="1054"/>
      <c r="Y1197" s="1054"/>
    </row>
    <row r="1198" spans="1:25">
      <c r="A1198" s="1053"/>
      <c r="B1198" s="1053"/>
      <c r="C1198" s="1053"/>
      <c r="D1198" s="1053"/>
      <c r="E1198" s="1053"/>
      <c r="R1198" s="1054"/>
      <c r="S1198" s="1054"/>
      <c r="T1198" s="1054"/>
      <c r="U1198" s="1054"/>
      <c r="V1198" s="1054"/>
      <c r="W1198" s="1054"/>
      <c r="X1198" s="1054"/>
      <c r="Y1198" s="1054"/>
    </row>
    <row r="1199" spans="1:25">
      <c r="A1199" s="1053"/>
      <c r="B1199" s="1053"/>
      <c r="C1199" s="1053"/>
      <c r="D1199" s="1053"/>
      <c r="E1199" s="1053"/>
      <c r="R1199" s="1054"/>
      <c r="S1199" s="1054"/>
      <c r="T1199" s="1054"/>
      <c r="U1199" s="1054"/>
      <c r="V1199" s="1054"/>
      <c r="W1199" s="1054"/>
      <c r="X1199" s="1054"/>
      <c r="Y1199" s="1054"/>
    </row>
    <row r="1200" spans="1:25">
      <c r="A1200" s="1053"/>
      <c r="B1200" s="1053"/>
      <c r="C1200" s="1053"/>
      <c r="D1200" s="1053"/>
      <c r="E1200" s="1053"/>
      <c r="R1200" s="1054"/>
      <c r="S1200" s="1054"/>
      <c r="T1200" s="1054"/>
      <c r="U1200" s="1054"/>
      <c r="V1200" s="1054"/>
      <c r="W1200" s="1054"/>
      <c r="X1200" s="1054"/>
      <c r="Y1200" s="1054"/>
    </row>
    <row r="1201" spans="1:25">
      <c r="A1201" s="1053"/>
      <c r="B1201" s="1053"/>
      <c r="C1201" s="1053"/>
      <c r="D1201" s="1053"/>
      <c r="E1201" s="1053"/>
      <c r="R1201" s="1054"/>
      <c r="S1201" s="1054"/>
      <c r="T1201" s="1054"/>
      <c r="U1201" s="1054"/>
      <c r="V1201" s="1054"/>
      <c r="W1201" s="1054"/>
      <c r="X1201" s="1054"/>
      <c r="Y1201" s="1054"/>
    </row>
    <row r="1202" spans="1:25">
      <c r="A1202" s="1053"/>
      <c r="B1202" s="1053"/>
      <c r="C1202" s="1053"/>
      <c r="D1202" s="1053"/>
      <c r="E1202" s="1053"/>
      <c r="R1202" s="1054"/>
      <c r="S1202" s="1054"/>
      <c r="T1202" s="1054"/>
      <c r="U1202" s="1054"/>
      <c r="V1202" s="1054"/>
      <c r="W1202" s="1054"/>
      <c r="X1202" s="1054"/>
      <c r="Y1202" s="1054"/>
    </row>
    <row r="1203" spans="1:25">
      <c r="A1203" s="1053"/>
      <c r="B1203" s="1053"/>
      <c r="C1203" s="1053"/>
      <c r="D1203" s="1053"/>
      <c r="E1203" s="1053"/>
      <c r="R1203" s="1054"/>
      <c r="S1203" s="1054"/>
      <c r="T1203" s="1054"/>
      <c r="U1203" s="1054"/>
      <c r="V1203" s="1054"/>
      <c r="W1203" s="1054"/>
      <c r="X1203" s="1054"/>
      <c r="Y1203" s="1054"/>
    </row>
    <row r="1204" spans="1:25">
      <c r="A1204" s="1053"/>
      <c r="B1204" s="1053"/>
      <c r="C1204" s="1053"/>
      <c r="D1204" s="1053"/>
      <c r="E1204" s="1053"/>
      <c r="R1204" s="1054"/>
      <c r="S1204" s="1054"/>
      <c r="T1204" s="1054"/>
      <c r="U1204" s="1054"/>
      <c r="V1204" s="1054"/>
      <c r="W1204" s="1054"/>
      <c r="X1204" s="1054"/>
      <c r="Y1204" s="1054"/>
    </row>
    <row r="1205" spans="1:25">
      <c r="A1205" s="1053"/>
      <c r="B1205" s="1053"/>
      <c r="C1205" s="1053"/>
      <c r="D1205" s="1053"/>
      <c r="E1205" s="1053"/>
      <c r="R1205" s="1054"/>
      <c r="S1205" s="1054"/>
      <c r="T1205" s="1054"/>
      <c r="U1205" s="1054"/>
      <c r="V1205" s="1054"/>
      <c r="W1205" s="1054"/>
      <c r="X1205" s="1054"/>
      <c r="Y1205" s="1054"/>
    </row>
    <row r="1206" spans="1:25">
      <c r="A1206" s="1053"/>
      <c r="B1206" s="1053"/>
      <c r="C1206" s="1053"/>
      <c r="D1206" s="1053"/>
      <c r="E1206" s="1053"/>
      <c r="R1206" s="1054"/>
      <c r="S1206" s="1054"/>
      <c r="T1206" s="1054"/>
      <c r="U1206" s="1054"/>
      <c r="V1206" s="1054"/>
      <c r="W1206" s="1054"/>
      <c r="X1206" s="1054"/>
      <c r="Y1206" s="1054"/>
    </row>
    <row r="1207" spans="1:25">
      <c r="A1207" s="1053"/>
      <c r="B1207" s="1053"/>
      <c r="C1207" s="1053"/>
      <c r="D1207" s="1053"/>
      <c r="E1207" s="1053"/>
      <c r="R1207" s="1054"/>
      <c r="S1207" s="1054"/>
      <c r="T1207" s="1054"/>
      <c r="U1207" s="1054"/>
      <c r="V1207" s="1054"/>
      <c r="W1207" s="1054"/>
      <c r="X1207" s="1054"/>
      <c r="Y1207" s="1054"/>
    </row>
    <row r="1208" spans="1:25">
      <c r="A1208" s="1053"/>
      <c r="B1208" s="1053"/>
      <c r="C1208" s="1053"/>
      <c r="D1208" s="1053"/>
      <c r="E1208" s="1053"/>
      <c r="R1208" s="1054"/>
      <c r="S1208" s="1054"/>
      <c r="T1208" s="1054"/>
      <c r="U1208" s="1054"/>
      <c r="V1208" s="1054"/>
      <c r="W1208" s="1054"/>
      <c r="X1208" s="1054"/>
      <c r="Y1208" s="1054"/>
    </row>
    <row r="1209" spans="1:25">
      <c r="A1209" s="1053"/>
      <c r="B1209" s="1053"/>
      <c r="C1209" s="1053"/>
      <c r="D1209" s="1053"/>
      <c r="E1209" s="1053"/>
      <c r="R1209" s="1054"/>
      <c r="S1209" s="1054"/>
      <c r="T1209" s="1054"/>
      <c r="U1209" s="1054"/>
      <c r="V1209" s="1054"/>
      <c r="W1209" s="1054"/>
      <c r="X1209" s="1054"/>
      <c r="Y1209" s="1054"/>
    </row>
    <row r="1210" spans="1:25">
      <c r="A1210" s="1053"/>
      <c r="B1210" s="1053"/>
      <c r="C1210" s="1053"/>
      <c r="D1210" s="1053"/>
      <c r="E1210" s="1053"/>
      <c r="R1210" s="1054"/>
      <c r="S1210" s="1054"/>
      <c r="T1210" s="1054"/>
      <c r="U1210" s="1054"/>
      <c r="V1210" s="1054"/>
      <c r="W1210" s="1054"/>
      <c r="X1210" s="1054"/>
      <c r="Y1210" s="1054"/>
    </row>
    <row r="1211" spans="1:25">
      <c r="A1211" s="1053"/>
      <c r="B1211" s="1053"/>
      <c r="C1211" s="1053"/>
      <c r="D1211" s="1053"/>
      <c r="E1211" s="1053"/>
      <c r="R1211" s="1054"/>
      <c r="S1211" s="1054"/>
      <c r="T1211" s="1054"/>
      <c r="U1211" s="1054"/>
      <c r="V1211" s="1054"/>
      <c r="W1211" s="1054"/>
      <c r="X1211" s="1054"/>
      <c r="Y1211" s="1054"/>
    </row>
    <row r="1212" spans="1:25">
      <c r="A1212" s="1053"/>
      <c r="B1212" s="1053"/>
      <c r="C1212" s="1053"/>
      <c r="D1212" s="1053"/>
      <c r="E1212" s="1053"/>
      <c r="R1212" s="1054"/>
      <c r="S1212" s="1054"/>
      <c r="T1212" s="1054"/>
      <c r="U1212" s="1054"/>
      <c r="V1212" s="1054"/>
      <c r="W1212" s="1054"/>
      <c r="X1212" s="1054"/>
      <c r="Y1212" s="1054"/>
    </row>
    <row r="1213" spans="1:25">
      <c r="A1213" s="1053"/>
      <c r="B1213" s="1053"/>
      <c r="C1213" s="1053"/>
      <c r="D1213" s="1053"/>
      <c r="E1213" s="1053"/>
      <c r="R1213" s="1054"/>
      <c r="S1213" s="1054"/>
      <c r="T1213" s="1054"/>
      <c r="U1213" s="1054"/>
      <c r="V1213" s="1054"/>
      <c r="W1213" s="1054"/>
      <c r="X1213" s="1054"/>
      <c r="Y1213" s="1054"/>
    </row>
    <row r="1214" spans="1:25">
      <c r="A1214" s="1053"/>
      <c r="B1214" s="1053"/>
      <c r="C1214" s="1053"/>
      <c r="D1214" s="1053"/>
      <c r="E1214" s="1053"/>
      <c r="R1214" s="1054"/>
      <c r="S1214" s="1054"/>
      <c r="T1214" s="1054"/>
      <c r="U1214" s="1054"/>
      <c r="V1214" s="1054"/>
      <c r="W1214" s="1054"/>
      <c r="X1214" s="1054"/>
      <c r="Y1214" s="1054"/>
    </row>
    <row r="1215" spans="1:25">
      <c r="A1215" s="1053"/>
      <c r="B1215" s="1053"/>
      <c r="C1215" s="1053"/>
      <c r="D1215" s="1053"/>
      <c r="E1215" s="1053"/>
      <c r="R1215" s="1054"/>
      <c r="S1215" s="1054"/>
      <c r="T1215" s="1054"/>
      <c r="U1215" s="1054"/>
      <c r="V1215" s="1054"/>
      <c r="W1215" s="1054"/>
      <c r="X1215" s="1054"/>
      <c r="Y1215" s="1054"/>
    </row>
    <row r="1216" spans="1:25">
      <c r="A1216" s="1053"/>
      <c r="B1216" s="1053"/>
      <c r="C1216" s="1053"/>
      <c r="D1216" s="1053"/>
      <c r="E1216" s="1053"/>
      <c r="R1216" s="1054"/>
      <c r="S1216" s="1054"/>
      <c r="T1216" s="1054"/>
      <c r="U1216" s="1054"/>
      <c r="V1216" s="1054"/>
      <c r="W1216" s="1054"/>
      <c r="X1216" s="1054"/>
      <c r="Y1216" s="1054"/>
    </row>
    <row r="1217" spans="1:25">
      <c r="A1217" s="1053"/>
      <c r="B1217" s="1053"/>
      <c r="C1217" s="1053"/>
      <c r="D1217" s="1053"/>
      <c r="E1217" s="1053"/>
      <c r="R1217" s="1054"/>
      <c r="S1217" s="1054"/>
      <c r="T1217" s="1054"/>
      <c r="U1217" s="1054"/>
      <c r="V1217" s="1054"/>
      <c r="W1217" s="1054"/>
      <c r="X1217" s="1054"/>
      <c r="Y1217" s="1054"/>
    </row>
    <row r="1218" spans="1:25">
      <c r="A1218" s="1053"/>
      <c r="B1218" s="1053"/>
      <c r="C1218" s="1053"/>
      <c r="D1218" s="1053"/>
      <c r="E1218" s="1053"/>
      <c r="R1218" s="1054"/>
      <c r="S1218" s="1054"/>
      <c r="T1218" s="1054"/>
      <c r="U1218" s="1054"/>
      <c r="V1218" s="1054"/>
      <c r="W1218" s="1054"/>
      <c r="X1218" s="1054"/>
      <c r="Y1218" s="1054"/>
    </row>
    <row r="1219" spans="1:25">
      <c r="A1219" s="1053"/>
      <c r="B1219" s="1053"/>
      <c r="C1219" s="1053"/>
      <c r="D1219" s="1053"/>
      <c r="E1219" s="1053"/>
      <c r="R1219" s="1054"/>
      <c r="S1219" s="1054"/>
      <c r="T1219" s="1054"/>
      <c r="U1219" s="1054"/>
      <c r="V1219" s="1054"/>
      <c r="W1219" s="1054"/>
      <c r="X1219" s="1054"/>
      <c r="Y1219" s="1054"/>
    </row>
    <row r="1220" spans="1:25">
      <c r="A1220" s="1053"/>
      <c r="B1220" s="1053"/>
      <c r="C1220" s="1053"/>
      <c r="D1220" s="1053"/>
      <c r="E1220" s="1053"/>
      <c r="R1220" s="1054"/>
      <c r="S1220" s="1054"/>
      <c r="T1220" s="1054"/>
      <c r="U1220" s="1054"/>
      <c r="V1220" s="1054"/>
      <c r="W1220" s="1054"/>
      <c r="X1220" s="1054"/>
      <c r="Y1220" s="1054"/>
    </row>
    <row r="1221" spans="1:25">
      <c r="A1221" s="1053"/>
      <c r="B1221" s="1053"/>
      <c r="C1221" s="1053"/>
      <c r="D1221" s="1053"/>
      <c r="E1221" s="1053"/>
      <c r="R1221" s="1054"/>
      <c r="S1221" s="1054"/>
      <c r="T1221" s="1054"/>
      <c r="U1221" s="1054"/>
      <c r="V1221" s="1054"/>
      <c r="W1221" s="1054"/>
      <c r="X1221" s="1054"/>
      <c r="Y1221" s="1054"/>
    </row>
    <row r="1222" spans="1:25">
      <c r="A1222" s="1053"/>
      <c r="B1222" s="1053"/>
      <c r="C1222" s="1053"/>
      <c r="D1222" s="1053"/>
      <c r="E1222" s="1053"/>
      <c r="R1222" s="1054"/>
      <c r="S1222" s="1054"/>
      <c r="T1222" s="1054"/>
      <c r="U1222" s="1054"/>
      <c r="V1222" s="1054"/>
      <c r="W1222" s="1054"/>
      <c r="X1222" s="1054"/>
      <c r="Y1222" s="1054"/>
    </row>
    <row r="1223" spans="1:25">
      <c r="A1223" s="1053"/>
      <c r="B1223" s="1053"/>
      <c r="C1223" s="1053"/>
      <c r="D1223" s="1053"/>
      <c r="E1223" s="1053"/>
      <c r="R1223" s="1054"/>
      <c r="S1223" s="1054"/>
      <c r="T1223" s="1054"/>
      <c r="U1223" s="1054"/>
      <c r="V1223" s="1054"/>
      <c r="W1223" s="1054"/>
      <c r="X1223" s="1054"/>
      <c r="Y1223" s="1054"/>
    </row>
    <row r="1224" spans="1:25">
      <c r="A1224" s="1053"/>
      <c r="B1224" s="1053"/>
      <c r="C1224" s="1053"/>
      <c r="D1224" s="1053"/>
      <c r="E1224" s="1053"/>
      <c r="R1224" s="1054"/>
      <c r="S1224" s="1054"/>
      <c r="T1224" s="1054"/>
      <c r="U1224" s="1054"/>
      <c r="V1224" s="1054"/>
      <c r="W1224" s="1054"/>
      <c r="X1224" s="1054"/>
      <c r="Y1224" s="1054"/>
    </row>
    <row r="1225" spans="1:25">
      <c r="A1225" s="1053"/>
      <c r="B1225" s="1053"/>
      <c r="C1225" s="1053"/>
      <c r="D1225" s="1053"/>
      <c r="E1225" s="1053"/>
      <c r="R1225" s="1054"/>
      <c r="S1225" s="1054"/>
      <c r="T1225" s="1054"/>
      <c r="U1225" s="1054"/>
      <c r="V1225" s="1054"/>
      <c r="W1225" s="1054"/>
      <c r="X1225" s="1054"/>
      <c r="Y1225" s="1054"/>
    </row>
    <row r="1226" spans="1:25">
      <c r="A1226" s="1053"/>
      <c r="B1226" s="1053"/>
      <c r="C1226" s="1053"/>
      <c r="D1226" s="1053"/>
      <c r="E1226" s="1053"/>
      <c r="R1226" s="1054"/>
      <c r="S1226" s="1054"/>
      <c r="T1226" s="1054"/>
      <c r="U1226" s="1054"/>
      <c r="V1226" s="1054"/>
      <c r="W1226" s="1054"/>
      <c r="X1226" s="1054"/>
      <c r="Y1226" s="1054"/>
    </row>
    <row r="1227" spans="1:25">
      <c r="A1227" s="1053"/>
      <c r="B1227" s="1053"/>
      <c r="C1227" s="1053"/>
      <c r="D1227" s="1053"/>
      <c r="E1227" s="1053"/>
      <c r="R1227" s="1054"/>
      <c r="S1227" s="1054"/>
      <c r="T1227" s="1054"/>
      <c r="U1227" s="1054"/>
      <c r="V1227" s="1054"/>
      <c r="W1227" s="1054"/>
      <c r="X1227" s="1054"/>
      <c r="Y1227" s="1054"/>
    </row>
    <row r="1228" spans="1:25">
      <c r="A1228" s="1053"/>
      <c r="B1228" s="1053"/>
      <c r="C1228" s="1053"/>
      <c r="D1228" s="1053"/>
      <c r="E1228" s="1053"/>
      <c r="R1228" s="1054"/>
      <c r="S1228" s="1054"/>
      <c r="T1228" s="1054"/>
      <c r="U1228" s="1054"/>
      <c r="V1228" s="1054"/>
      <c r="W1228" s="1054"/>
      <c r="X1228" s="1054"/>
      <c r="Y1228" s="1054"/>
    </row>
    <row r="1229" spans="1:25">
      <c r="A1229" s="1053"/>
      <c r="B1229" s="1053"/>
      <c r="C1229" s="1053"/>
      <c r="D1229" s="1053"/>
      <c r="E1229" s="1053"/>
      <c r="R1229" s="1054"/>
      <c r="S1229" s="1054"/>
      <c r="T1229" s="1054"/>
      <c r="U1229" s="1054"/>
      <c r="V1229" s="1054"/>
      <c r="W1229" s="1054"/>
      <c r="X1229" s="1054"/>
      <c r="Y1229" s="1054"/>
    </row>
    <row r="1230" spans="1:25">
      <c r="A1230" s="1053"/>
      <c r="B1230" s="1053"/>
      <c r="C1230" s="1053"/>
      <c r="D1230" s="1053"/>
      <c r="E1230" s="1053"/>
      <c r="R1230" s="1054"/>
      <c r="S1230" s="1054"/>
      <c r="T1230" s="1054"/>
      <c r="U1230" s="1054"/>
      <c r="V1230" s="1054"/>
      <c r="W1230" s="1054"/>
      <c r="X1230" s="1054"/>
      <c r="Y1230" s="1054"/>
    </row>
    <row r="1231" spans="1:25">
      <c r="A1231" s="1053"/>
      <c r="B1231" s="1053"/>
      <c r="C1231" s="1053"/>
      <c r="D1231" s="1053"/>
      <c r="E1231" s="1053"/>
      <c r="R1231" s="1054"/>
      <c r="S1231" s="1054"/>
      <c r="T1231" s="1054"/>
      <c r="U1231" s="1054"/>
      <c r="V1231" s="1054"/>
      <c r="W1231" s="1054"/>
      <c r="X1231" s="1054"/>
      <c r="Y1231" s="1054"/>
    </row>
    <row r="1232" spans="1:25">
      <c r="A1232" s="1053"/>
      <c r="B1232" s="1053"/>
      <c r="C1232" s="1053"/>
      <c r="D1232" s="1053"/>
      <c r="E1232" s="1053"/>
      <c r="R1232" s="1054"/>
      <c r="S1232" s="1054"/>
      <c r="T1232" s="1054"/>
      <c r="U1232" s="1054"/>
      <c r="V1232" s="1054"/>
      <c r="W1232" s="1054"/>
      <c r="X1232" s="1054"/>
      <c r="Y1232" s="1054"/>
    </row>
    <row r="1233" spans="1:25">
      <c r="A1233" s="1053"/>
      <c r="B1233" s="1053"/>
      <c r="C1233" s="1053"/>
      <c r="D1233" s="1053"/>
      <c r="E1233" s="1053"/>
      <c r="R1233" s="1054"/>
      <c r="S1233" s="1054"/>
      <c r="T1233" s="1054"/>
      <c r="U1233" s="1054"/>
      <c r="V1233" s="1054"/>
      <c r="W1233" s="1054"/>
      <c r="X1233" s="1054"/>
      <c r="Y1233" s="1054"/>
    </row>
    <row r="1234" spans="1:25">
      <c r="A1234" s="1053"/>
      <c r="B1234" s="1053"/>
      <c r="C1234" s="1053"/>
      <c r="D1234" s="1053"/>
      <c r="E1234" s="1053"/>
      <c r="R1234" s="1054"/>
      <c r="S1234" s="1054"/>
      <c r="T1234" s="1054"/>
      <c r="U1234" s="1054"/>
      <c r="V1234" s="1054"/>
      <c r="W1234" s="1054"/>
      <c r="X1234" s="1054"/>
      <c r="Y1234" s="1054"/>
    </row>
    <row r="1235" spans="1:25">
      <c r="A1235" s="1053"/>
      <c r="B1235" s="1053"/>
      <c r="C1235" s="1053"/>
      <c r="D1235" s="1053"/>
      <c r="E1235" s="1053"/>
      <c r="R1235" s="1054"/>
      <c r="S1235" s="1054"/>
      <c r="T1235" s="1054"/>
      <c r="U1235" s="1054"/>
      <c r="V1235" s="1054"/>
      <c r="W1235" s="1054"/>
      <c r="X1235" s="1054"/>
      <c r="Y1235" s="1054"/>
    </row>
    <row r="1236" spans="1:25">
      <c r="A1236" s="1053"/>
      <c r="B1236" s="1053"/>
      <c r="C1236" s="1053"/>
      <c r="D1236" s="1053"/>
      <c r="E1236" s="1053"/>
      <c r="R1236" s="1054"/>
      <c r="S1236" s="1054"/>
      <c r="T1236" s="1054"/>
      <c r="U1236" s="1054"/>
      <c r="V1236" s="1054"/>
      <c r="W1236" s="1054"/>
      <c r="X1236" s="1054"/>
      <c r="Y1236" s="1054"/>
    </row>
    <row r="1237" spans="1:25">
      <c r="A1237" s="1053"/>
      <c r="B1237" s="1053"/>
      <c r="C1237" s="1053"/>
      <c r="D1237" s="1053"/>
      <c r="E1237" s="1053"/>
      <c r="R1237" s="1054"/>
      <c r="S1237" s="1054"/>
      <c r="T1237" s="1054"/>
      <c r="U1237" s="1054"/>
      <c r="V1237" s="1054"/>
      <c r="W1237" s="1054"/>
      <c r="X1237" s="1054"/>
      <c r="Y1237" s="1054"/>
    </row>
    <row r="1238" spans="1:25">
      <c r="A1238" s="1053"/>
      <c r="B1238" s="1053"/>
      <c r="C1238" s="1053"/>
      <c r="D1238" s="1053"/>
      <c r="E1238" s="1053"/>
      <c r="R1238" s="1054"/>
      <c r="S1238" s="1054"/>
      <c r="T1238" s="1054"/>
      <c r="U1238" s="1054"/>
      <c r="V1238" s="1054"/>
      <c r="W1238" s="1054"/>
      <c r="X1238" s="1054"/>
      <c r="Y1238" s="1054"/>
    </row>
    <row r="1239" spans="1:25">
      <c r="A1239" s="1053"/>
      <c r="B1239" s="1053"/>
      <c r="C1239" s="1053"/>
      <c r="D1239" s="1053"/>
      <c r="E1239" s="1053"/>
      <c r="R1239" s="1054"/>
      <c r="S1239" s="1054"/>
      <c r="T1239" s="1054"/>
      <c r="U1239" s="1054"/>
      <c r="V1239" s="1054"/>
      <c r="W1239" s="1054"/>
      <c r="X1239" s="1054"/>
      <c r="Y1239" s="1054"/>
    </row>
    <row r="1240" spans="1:25">
      <c r="A1240" s="1053"/>
      <c r="B1240" s="1053"/>
      <c r="C1240" s="1053"/>
      <c r="D1240" s="1053"/>
      <c r="E1240" s="1053"/>
      <c r="R1240" s="1054"/>
      <c r="S1240" s="1054"/>
      <c r="T1240" s="1054"/>
      <c r="U1240" s="1054"/>
      <c r="V1240" s="1054"/>
      <c r="W1240" s="1054"/>
      <c r="X1240" s="1054"/>
      <c r="Y1240" s="1054"/>
    </row>
    <row r="1241" spans="1:25">
      <c r="A1241" s="1053"/>
      <c r="B1241" s="1053"/>
      <c r="C1241" s="1053"/>
      <c r="D1241" s="1053"/>
      <c r="E1241" s="1053"/>
      <c r="R1241" s="1054"/>
      <c r="S1241" s="1054"/>
      <c r="T1241" s="1054"/>
      <c r="U1241" s="1054"/>
      <c r="V1241" s="1054"/>
      <c r="W1241" s="1054"/>
      <c r="X1241" s="1054"/>
      <c r="Y1241" s="1054"/>
    </row>
    <row r="1242" spans="1:25">
      <c r="A1242" s="1053"/>
      <c r="B1242" s="1053"/>
      <c r="C1242" s="1053"/>
      <c r="D1242" s="1053"/>
      <c r="E1242" s="1053"/>
      <c r="R1242" s="1054"/>
      <c r="S1242" s="1054"/>
      <c r="T1242" s="1054"/>
      <c r="U1242" s="1054"/>
      <c r="V1242" s="1054"/>
      <c r="W1242" s="1054"/>
      <c r="X1242" s="1054"/>
      <c r="Y1242" s="1054"/>
    </row>
    <row r="1243" spans="1:25">
      <c r="A1243" s="1053"/>
      <c r="B1243" s="1053"/>
      <c r="C1243" s="1053"/>
      <c r="D1243" s="1053"/>
      <c r="E1243" s="1053"/>
      <c r="R1243" s="1054"/>
      <c r="S1243" s="1054"/>
      <c r="T1243" s="1054"/>
      <c r="U1243" s="1054"/>
      <c r="V1243" s="1054"/>
      <c r="W1243" s="1054"/>
      <c r="X1243" s="1054"/>
      <c r="Y1243" s="1054"/>
    </row>
    <row r="1244" spans="1:25">
      <c r="A1244" s="1053"/>
      <c r="B1244" s="1053"/>
      <c r="C1244" s="1053"/>
      <c r="D1244" s="1053"/>
      <c r="E1244" s="1053"/>
      <c r="R1244" s="1054"/>
      <c r="S1244" s="1054"/>
      <c r="T1244" s="1054"/>
      <c r="U1244" s="1054"/>
      <c r="V1244" s="1054"/>
      <c r="W1244" s="1054"/>
      <c r="X1244" s="1054"/>
      <c r="Y1244" s="1054"/>
    </row>
    <row r="1245" spans="1:25">
      <c r="A1245" s="1053"/>
      <c r="B1245" s="1053"/>
      <c r="C1245" s="1053"/>
      <c r="D1245" s="1053"/>
      <c r="E1245" s="1053"/>
      <c r="R1245" s="1054"/>
      <c r="S1245" s="1054"/>
      <c r="T1245" s="1054"/>
      <c r="U1245" s="1054"/>
      <c r="V1245" s="1054"/>
      <c r="W1245" s="1054"/>
      <c r="X1245" s="1054"/>
      <c r="Y1245" s="1054"/>
    </row>
    <row r="1246" spans="1:25">
      <c r="A1246" s="1053"/>
      <c r="B1246" s="1053"/>
      <c r="C1246" s="1053"/>
      <c r="D1246" s="1053"/>
      <c r="E1246" s="1053"/>
      <c r="R1246" s="1054"/>
      <c r="S1246" s="1054"/>
      <c r="T1246" s="1054"/>
      <c r="U1246" s="1054"/>
      <c r="V1246" s="1054"/>
      <c r="W1246" s="1054"/>
      <c r="X1246" s="1054"/>
      <c r="Y1246" s="1054"/>
    </row>
    <row r="1247" spans="1:25">
      <c r="A1247" s="1053"/>
      <c r="B1247" s="1053"/>
      <c r="C1247" s="1053"/>
      <c r="D1247" s="1053"/>
      <c r="E1247" s="1053"/>
      <c r="R1247" s="1054"/>
      <c r="S1247" s="1054"/>
      <c r="T1247" s="1054"/>
      <c r="U1247" s="1054"/>
      <c r="V1247" s="1054"/>
      <c r="W1247" s="1054"/>
      <c r="X1247" s="1054"/>
      <c r="Y1247" s="1054"/>
    </row>
    <row r="1248" spans="1:25">
      <c r="A1248" s="1053"/>
      <c r="B1248" s="1053"/>
      <c r="C1248" s="1053"/>
      <c r="D1248" s="1053"/>
      <c r="E1248" s="1053"/>
      <c r="R1248" s="1054"/>
      <c r="S1248" s="1054"/>
      <c r="T1248" s="1054"/>
      <c r="U1248" s="1054"/>
      <c r="V1248" s="1054"/>
      <c r="W1248" s="1054"/>
      <c r="X1248" s="1054"/>
      <c r="Y1248" s="1054"/>
    </row>
    <row r="1249" spans="1:25">
      <c r="A1249" s="1053"/>
      <c r="B1249" s="1053"/>
      <c r="C1249" s="1053"/>
      <c r="D1249" s="1053"/>
      <c r="E1249" s="1053"/>
      <c r="R1249" s="1054"/>
      <c r="S1249" s="1054"/>
      <c r="T1249" s="1054"/>
      <c r="U1249" s="1054"/>
      <c r="V1249" s="1054"/>
      <c r="W1249" s="1054"/>
      <c r="X1249" s="1054"/>
      <c r="Y1249" s="1054"/>
    </row>
    <row r="1250" spans="1:25">
      <c r="A1250" s="1053"/>
      <c r="B1250" s="1053"/>
      <c r="C1250" s="1053"/>
      <c r="D1250" s="1053"/>
      <c r="E1250" s="1053"/>
      <c r="R1250" s="1054"/>
      <c r="S1250" s="1054"/>
      <c r="T1250" s="1054"/>
      <c r="U1250" s="1054"/>
      <c r="V1250" s="1054"/>
      <c r="W1250" s="1054"/>
      <c r="X1250" s="1054"/>
      <c r="Y1250" s="1054"/>
    </row>
    <row r="1251" spans="1:25">
      <c r="A1251" s="1053"/>
      <c r="B1251" s="1053"/>
      <c r="C1251" s="1053"/>
      <c r="D1251" s="1053"/>
      <c r="E1251" s="1053"/>
      <c r="R1251" s="1054"/>
      <c r="S1251" s="1054"/>
      <c r="T1251" s="1054"/>
      <c r="U1251" s="1054"/>
      <c r="V1251" s="1054"/>
      <c r="W1251" s="1054"/>
      <c r="X1251" s="1054"/>
      <c r="Y1251" s="1054"/>
    </row>
    <row r="1252" spans="1:25">
      <c r="A1252" s="1053"/>
      <c r="B1252" s="1053"/>
      <c r="C1252" s="1053"/>
      <c r="D1252" s="1053"/>
      <c r="E1252" s="1053"/>
      <c r="R1252" s="1054"/>
      <c r="S1252" s="1054"/>
      <c r="T1252" s="1054"/>
      <c r="U1252" s="1054"/>
      <c r="V1252" s="1054"/>
      <c r="W1252" s="1054"/>
      <c r="X1252" s="1054"/>
      <c r="Y1252" s="1054"/>
    </row>
    <row r="1253" spans="1:25">
      <c r="A1253" s="1053"/>
      <c r="B1253" s="1053"/>
      <c r="C1253" s="1053"/>
      <c r="D1253" s="1053"/>
      <c r="E1253" s="1053"/>
      <c r="R1253" s="1054"/>
      <c r="S1253" s="1054"/>
      <c r="T1253" s="1054"/>
      <c r="U1253" s="1054"/>
      <c r="V1253" s="1054"/>
      <c r="W1253" s="1054"/>
      <c r="X1253" s="1054"/>
      <c r="Y1253" s="1054"/>
    </row>
    <row r="1254" spans="1:25">
      <c r="A1254" s="1053"/>
      <c r="B1254" s="1053"/>
      <c r="C1254" s="1053"/>
      <c r="D1254" s="1053"/>
      <c r="E1254" s="1053"/>
      <c r="R1254" s="1054"/>
      <c r="S1254" s="1054"/>
      <c r="T1254" s="1054"/>
      <c r="U1254" s="1054"/>
      <c r="V1254" s="1054"/>
      <c r="W1254" s="1054"/>
      <c r="X1254" s="1054"/>
      <c r="Y1254" s="1054"/>
    </row>
    <row r="1255" spans="1:25">
      <c r="A1255" s="1053"/>
      <c r="B1255" s="1053"/>
      <c r="C1255" s="1053"/>
      <c r="D1255" s="1053"/>
      <c r="E1255" s="1053"/>
      <c r="R1255" s="1054"/>
      <c r="S1255" s="1054"/>
      <c r="T1255" s="1054"/>
      <c r="U1255" s="1054"/>
      <c r="V1255" s="1054"/>
      <c r="W1255" s="1054"/>
      <c r="X1255" s="1054"/>
      <c r="Y1255" s="1054"/>
    </row>
    <row r="1256" spans="1:25">
      <c r="A1256" s="1053"/>
      <c r="B1256" s="1053"/>
      <c r="C1256" s="1053"/>
      <c r="D1256" s="1053"/>
      <c r="E1256" s="1053"/>
      <c r="R1256" s="1054"/>
      <c r="S1256" s="1054"/>
      <c r="T1256" s="1054"/>
      <c r="U1256" s="1054"/>
      <c r="V1256" s="1054"/>
      <c r="W1256" s="1054"/>
      <c r="X1256" s="1054"/>
      <c r="Y1256" s="1054"/>
    </row>
    <row r="1257" spans="1:25">
      <c r="A1257" s="1053"/>
      <c r="B1257" s="1053"/>
      <c r="C1257" s="1053"/>
      <c r="D1257" s="1053"/>
      <c r="E1257" s="1053"/>
      <c r="R1257" s="1054"/>
      <c r="S1257" s="1054"/>
      <c r="T1257" s="1054"/>
      <c r="U1257" s="1054"/>
      <c r="V1257" s="1054"/>
      <c r="W1257" s="1054"/>
      <c r="X1257" s="1054"/>
      <c r="Y1257" s="1054"/>
    </row>
    <row r="1258" spans="1:25">
      <c r="A1258" s="1053"/>
      <c r="B1258" s="1053"/>
      <c r="C1258" s="1053"/>
      <c r="D1258" s="1053"/>
      <c r="E1258" s="1053"/>
      <c r="R1258" s="1054"/>
      <c r="S1258" s="1054"/>
      <c r="T1258" s="1054"/>
      <c r="U1258" s="1054"/>
      <c r="V1258" s="1054"/>
      <c r="W1258" s="1054"/>
      <c r="X1258" s="1054"/>
      <c r="Y1258" s="1054"/>
    </row>
    <row r="1259" spans="1:25">
      <c r="A1259" s="1053"/>
      <c r="B1259" s="1053"/>
      <c r="C1259" s="1053"/>
      <c r="D1259" s="1053"/>
      <c r="E1259" s="1053"/>
      <c r="R1259" s="1054"/>
      <c r="S1259" s="1054"/>
      <c r="T1259" s="1054"/>
      <c r="U1259" s="1054"/>
      <c r="V1259" s="1054"/>
      <c r="W1259" s="1054"/>
      <c r="X1259" s="1054"/>
      <c r="Y1259" s="1054"/>
    </row>
    <row r="1260" spans="1:25">
      <c r="A1260" s="1053"/>
      <c r="B1260" s="1053"/>
      <c r="C1260" s="1053"/>
      <c r="D1260" s="1053"/>
      <c r="E1260" s="1053"/>
      <c r="R1260" s="1054"/>
      <c r="S1260" s="1054"/>
      <c r="T1260" s="1054"/>
      <c r="U1260" s="1054"/>
      <c r="V1260" s="1054"/>
      <c r="W1260" s="1054"/>
      <c r="X1260" s="1054"/>
      <c r="Y1260" s="1054"/>
    </row>
    <row r="1261" spans="1:25">
      <c r="A1261" s="1053"/>
      <c r="B1261" s="1053"/>
      <c r="C1261" s="1053"/>
      <c r="D1261" s="1053"/>
      <c r="E1261" s="1053"/>
      <c r="R1261" s="1054"/>
      <c r="S1261" s="1054"/>
      <c r="T1261" s="1054"/>
      <c r="U1261" s="1054"/>
      <c r="V1261" s="1054"/>
      <c r="W1261" s="1054"/>
      <c r="X1261" s="1054"/>
      <c r="Y1261" s="1054"/>
    </row>
    <row r="1262" spans="1:25">
      <c r="A1262" s="1053"/>
      <c r="B1262" s="1053"/>
      <c r="C1262" s="1053"/>
      <c r="D1262" s="1053"/>
      <c r="E1262" s="1053"/>
      <c r="R1262" s="1054"/>
      <c r="S1262" s="1054"/>
      <c r="T1262" s="1054"/>
      <c r="U1262" s="1054"/>
      <c r="V1262" s="1054"/>
      <c r="W1262" s="1054"/>
      <c r="X1262" s="1054"/>
      <c r="Y1262" s="1054"/>
    </row>
    <row r="1263" spans="1:25">
      <c r="A1263" s="1053"/>
      <c r="B1263" s="1053"/>
      <c r="C1263" s="1053"/>
      <c r="D1263" s="1053"/>
      <c r="E1263" s="1053"/>
      <c r="R1263" s="1054"/>
      <c r="S1263" s="1054"/>
      <c r="T1263" s="1054"/>
      <c r="U1263" s="1054"/>
      <c r="V1263" s="1054"/>
      <c r="W1263" s="1054"/>
      <c r="X1263" s="1054"/>
      <c r="Y1263" s="1054"/>
    </row>
    <row r="1264" spans="1:25">
      <c r="A1264" s="1053"/>
      <c r="B1264" s="1053"/>
      <c r="C1264" s="1053"/>
      <c r="D1264" s="1053"/>
      <c r="E1264" s="1053"/>
      <c r="R1264" s="1054"/>
      <c r="S1264" s="1054"/>
      <c r="T1264" s="1054"/>
      <c r="U1264" s="1054"/>
      <c r="V1264" s="1054"/>
      <c r="W1264" s="1054"/>
      <c r="X1264" s="1054"/>
      <c r="Y1264" s="1054"/>
    </row>
    <row r="1265" spans="1:25">
      <c r="A1265" s="1053"/>
      <c r="B1265" s="1053"/>
      <c r="C1265" s="1053"/>
      <c r="D1265" s="1053"/>
      <c r="E1265" s="1053"/>
      <c r="R1265" s="1054"/>
      <c r="S1265" s="1054"/>
      <c r="T1265" s="1054"/>
      <c r="U1265" s="1054"/>
      <c r="V1265" s="1054"/>
      <c r="W1265" s="1054"/>
      <c r="X1265" s="1054"/>
      <c r="Y1265" s="1054"/>
    </row>
    <row r="1266" spans="1:25">
      <c r="A1266" s="1053"/>
      <c r="B1266" s="1053"/>
      <c r="C1266" s="1053"/>
      <c r="D1266" s="1053"/>
      <c r="E1266" s="1053"/>
      <c r="R1266" s="1054"/>
      <c r="S1266" s="1054"/>
      <c r="T1266" s="1054"/>
      <c r="U1266" s="1054"/>
      <c r="V1266" s="1054"/>
      <c r="W1266" s="1054"/>
      <c r="X1266" s="1054"/>
      <c r="Y1266" s="1054"/>
    </row>
    <row r="1267" spans="1:25">
      <c r="A1267" s="1053"/>
      <c r="B1267" s="1053"/>
      <c r="C1267" s="1053"/>
      <c r="D1267" s="1053"/>
      <c r="E1267" s="1053"/>
      <c r="R1267" s="1054"/>
      <c r="S1267" s="1054"/>
      <c r="T1267" s="1054"/>
      <c r="U1267" s="1054"/>
      <c r="V1267" s="1054"/>
      <c r="W1267" s="1054"/>
      <c r="X1267" s="1054"/>
      <c r="Y1267" s="1054"/>
    </row>
    <row r="1268" spans="1:25">
      <c r="A1268" s="1053"/>
      <c r="B1268" s="1053"/>
      <c r="C1268" s="1053"/>
      <c r="D1268" s="1053"/>
      <c r="E1268" s="1053"/>
      <c r="R1268" s="1054"/>
      <c r="S1268" s="1054"/>
      <c r="T1268" s="1054"/>
      <c r="U1268" s="1054"/>
      <c r="V1268" s="1054"/>
      <c r="W1268" s="1054"/>
      <c r="X1268" s="1054"/>
      <c r="Y1268" s="1054"/>
    </row>
    <row r="1269" spans="1:25">
      <c r="A1269" s="1053"/>
      <c r="B1269" s="1053"/>
      <c r="C1269" s="1053"/>
      <c r="D1269" s="1053"/>
      <c r="E1269" s="1053"/>
      <c r="R1269" s="1054"/>
      <c r="S1269" s="1054"/>
      <c r="T1269" s="1054"/>
      <c r="U1269" s="1054"/>
      <c r="V1269" s="1054"/>
      <c r="W1269" s="1054"/>
      <c r="X1269" s="1054"/>
      <c r="Y1269" s="1054"/>
    </row>
    <row r="1270" spans="1:25">
      <c r="A1270" s="1053"/>
      <c r="B1270" s="1053"/>
      <c r="C1270" s="1053"/>
      <c r="D1270" s="1053"/>
      <c r="E1270" s="1053"/>
      <c r="R1270" s="1054"/>
      <c r="S1270" s="1054"/>
      <c r="T1270" s="1054"/>
      <c r="U1270" s="1054"/>
      <c r="V1270" s="1054"/>
      <c r="W1270" s="1054"/>
      <c r="X1270" s="1054"/>
      <c r="Y1270" s="1054"/>
    </row>
    <row r="1271" spans="1:25">
      <c r="A1271" s="1053"/>
      <c r="B1271" s="1053"/>
      <c r="C1271" s="1053"/>
      <c r="D1271" s="1053"/>
      <c r="E1271" s="1053"/>
      <c r="R1271" s="1054"/>
      <c r="S1271" s="1054"/>
      <c r="T1271" s="1054"/>
      <c r="U1271" s="1054"/>
      <c r="V1271" s="1054"/>
      <c r="W1271" s="1054"/>
      <c r="X1271" s="1054"/>
      <c r="Y1271" s="1054"/>
    </row>
    <row r="1272" spans="1:25">
      <c r="A1272" s="1053"/>
      <c r="B1272" s="1053"/>
      <c r="C1272" s="1053"/>
      <c r="D1272" s="1053"/>
      <c r="E1272" s="1053"/>
      <c r="R1272" s="1054"/>
      <c r="S1272" s="1054"/>
      <c r="T1272" s="1054"/>
      <c r="U1272" s="1054"/>
      <c r="V1272" s="1054"/>
      <c r="W1272" s="1054"/>
      <c r="X1272" s="1054"/>
      <c r="Y1272" s="1054"/>
    </row>
    <row r="1273" spans="1:25">
      <c r="A1273" s="1053"/>
      <c r="B1273" s="1053"/>
      <c r="C1273" s="1053"/>
      <c r="D1273" s="1053"/>
      <c r="E1273" s="1053"/>
      <c r="R1273" s="1054"/>
      <c r="S1273" s="1054"/>
      <c r="T1273" s="1054"/>
      <c r="U1273" s="1054"/>
      <c r="V1273" s="1054"/>
      <c r="W1273" s="1054"/>
      <c r="X1273" s="1054"/>
      <c r="Y1273" s="1054"/>
    </row>
    <row r="1274" spans="1:25">
      <c r="A1274" s="1053"/>
      <c r="B1274" s="1053"/>
      <c r="C1274" s="1053"/>
      <c r="D1274" s="1053"/>
      <c r="E1274" s="1053"/>
      <c r="R1274" s="1054"/>
      <c r="S1274" s="1054"/>
      <c r="T1274" s="1054"/>
      <c r="U1274" s="1054"/>
      <c r="V1274" s="1054"/>
      <c r="W1274" s="1054"/>
      <c r="X1274" s="1054"/>
      <c r="Y1274" s="1054"/>
    </row>
    <row r="1275" spans="1:25">
      <c r="A1275" s="1053"/>
      <c r="B1275" s="1053"/>
      <c r="C1275" s="1053"/>
      <c r="D1275" s="1053"/>
      <c r="E1275" s="1053"/>
      <c r="R1275" s="1054"/>
      <c r="S1275" s="1054"/>
      <c r="T1275" s="1054"/>
      <c r="U1275" s="1054"/>
      <c r="V1275" s="1054"/>
      <c r="W1275" s="1054"/>
      <c r="X1275" s="1054"/>
      <c r="Y1275" s="1054"/>
    </row>
    <row r="1276" spans="1:25">
      <c r="A1276" s="1053"/>
      <c r="B1276" s="1053"/>
      <c r="C1276" s="1053"/>
      <c r="D1276" s="1053"/>
      <c r="E1276" s="1053"/>
      <c r="R1276" s="1054"/>
      <c r="S1276" s="1054"/>
      <c r="T1276" s="1054"/>
      <c r="U1276" s="1054"/>
      <c r="V1276" s="1054"/>
      <c r="W1276" s="1054"/>
      <c r="X1276" s="1054"/>
      <c r="Y1276" s="1054"/>
    </row>
    <row r="1277" spans="1:25">
      <c r="A1277" s="1053"/>
      <c r="B1277" s="1053"/>
      <c r="C1277" s="1053"/>
      <c r="D1277" s="1053"/>
      <c r="E1277" s="1053"/>
      <c r="R1277" s="1054"/>
      <c r="S1277" s="1054"/>
      <c r="T1277" s="1054"/>
      <c r="U1277" s="1054"/>
      <c r="V1277" s="1054"/>
      <c r="W1277" s="1054"/>
      <c r="X1277" s="1054"/>
      <c r="Y1277" s="1054"/>
    </row>
    <row r="1278" spans="1:25">
      <c r="A1278" s="1053"/>
      <c r="B1278" s="1053"/>
      <c r="C1278" s="1053"/>
      <c r="D1278" s="1053"/>
      <c r="E1278" s="1053"/>
      <c r="R1278" s="1054"/>
      <c r="S1278" s="1054"/>
      <c r="T1278" s="1054"/>
      <c r="U1278" s="1054"/>
      <c r="V1278" s="1054"/>
      <c r="W1278" s="1054"/>
      <c r="X1278" s="1054"/>
      <c r="Y1278" s="1054"/>
    </row>
    <row r="1279" spans="1:25">
      <c r="A1279" s="1053"/>
      <c r="B1279" s="1053"/>
      <c r="C1279" s="1053"/>
      <c r="D1279" s="1053"/>
      <c r="E1279" s="1053"/>
      <c r="R1279" s="1054"/>
      <c r="S1279" s="1054"/>
      <c r="T1279" s="1054"/>
      <c r="U1279" s="1054"/>
      <c r="V1279" s="1054"/>
      <c r="W1279" s="1054"/>
      <c r="X1279" s="1054"/>
      <c r="Y1279" s="1054"/>
    </row>
    <row r="1280" spans="1:25">
      <c r="A1280" s="1053"/>
      <c r="B1280" s="1053"/>
      <c r="C1280" s="1053"/>
      <c r="D1280" s="1053"/>
      <c r="E1280" s="1053"/>
      <c r="R1280" s="1054"/>
      <c r="S1280" s="1054"/>
      <c r="T1280" s="1054"/>
      <c r="U1280" s="1054"/>
      <c r="V1280" s="1054"/>
      <c r="W1280" s="1054"/>
      <c r="X1280" s="1054"/>
      <c r="Y1280" s="1054"/>
    </row>
    <row r="1281" spans="1:25">
      <c r="A1281" s="1053"/>
      <c r="B1281" s="1053"/>
      <c r="C1281" s="1053"/>
      <c r="D1281" s="1053"/>
      <c r="E1281" s="1053"/>
      <c r="R1281" s="1054"/>
      <c r="S1281" s="1054"/>
      <c r="T1281" s="1054"/>
      <c r="U1281" s="1054"/>
      <c r="V1281" s="1054"/>
      <c r="W1281" s="1054"/>
      <c r="X1281" s="1054"/>
      <c r="Y1281" s="1054"/>
    </row>
    <row r="1282" spans="1:25">
      <c r="A1282" s="1053"/>
      <c r="B1282" s="1053"/>
      <c r="C1282" s="1053"/>
      <c r="D1282" s="1053"/>
      <c r="E1282" s="1053"/>
      <c r="R1282" s="1054"/>
      <c r="S1282" s="1054"/>
      <c r="T1282" s="1054"/>
      <c r="U1282" s="1054"/>
      <c r="V1282" s="1054"/>
      <c r="W1282" s="1054"/>
      <c r="X1282" s="1054"/>
      <c r="Y1282" s="1054"/>
    </row>
    <row r="1283" spans="1:25">
      <c r="A1283" s="1053"/>
      <c r="B1283" s="1053"/>
      <c r="C1283" s="1053"/>
      <c r="D1283" s="1053"/>
      <c r="E1283" s="1053"/>
      <c r="R1283" s="1054"/>
      <c r="S1283" s="1054"/>
      <c r="T1283" s="1054"/>
      <c r="U1283" s="1054"/>
      <c r="V1283" s="1054"/>
      <c r="W1283" s="1054"/>
      <c r="X1283" s="1054"/>
      <c r="Y1283" s="1054"/>
    </row>
    <row r="1284" spans="1:25">
      <c r="A1284" s="1053"/>
      <c r="B1284" s="1053"/>
      <c r="C1284" s="1053"/>
      <c r="D1284" s="1053"/>
      <c r="E1284" s="1053"/>
      <c r="R1284" s="1054"/>
      <c r="S1284" s="1054"/>
      <c r="T1284" s="1054"/>
      <c r="U1284" s="1054"/>
      <c r="V1284" s="1054"/>
      <c r="W1284" s="1054"/>
      <c r="X1284" s="1054"/>
      <c r="Y1284" s="1054"/>
    </row>
    <row r="1285" spans="1:25">
      <c r="A1285" s="1053"/>
      <c r="B1285" s="1053"/>
      <c r="C1285" s="1053"/>
      <c r="D1285" s="1053"/>
      <c r="E1285" s="1053"/>
      <c r="R1285" s="1054"/>
      <c r="S1285" s="1054"/>
      <c r="T1285" s="1054"/>
      <c r="U1285" s="1054"/>
      <c r="V1285" s="1054"/>
      <c r="W1285" s="1054"/>
      <c r="X1285" s="1054"/>
      <c r="Y1285" s="1054"/>
    </row>
    <row r="1286" spans="1:25">
      <c r="A1286" s="1053"/>
      <c r="B1286" s="1053"/>
      <c r="C1286" s="1053"/>
      <c r="D1286" s="1053"/>
      <c r="E1286" s="1053"/>
      <c r="R1286" s="1054"/>
      <c r="S1286" s="1054"/>
      <c r="T1286" s="1054"/>
      <c r="U1286" s="1054"/>
      <c r="V1286" s="1054"/>
      <c r="W1286" s="1054"/>
      <c r="X1286" s="1054"/>
      <c r="Y1286" s="1054"/>
    </row>
    <row r="1287" spans="1:25">
      <c r="A1287" s="1053"/>
      <c r="B1287" s="1053"/>
      <c r="C1287" s="1053"/>
      <c r="D1287" s="1053"/>
      <c r="E1287" s="1053"/>
      <c r="R1287" s="1054"/>
      <c r="S1287" s="1054"/>
      <c r="T1287" s="1054"/>
      <c r="U1287" s="1054"/>
      <c r="V1287" s="1054"/>
      <c r="W1287" s="1054"/>
      <c r="X1287" s="1054"/>
      <c r="Y1287" s="1054"/>
    </row>
    <row r="1288" spans="1:25">
      <c r="A1288" s="1053"/>
      <c r="B1288" s="1053"/>
      <c r="C1288" s="1053"/>
      <c r="D1288" s="1053"/>
      <c r="E1288" s="1053"/>
      <c r="R1288" s="1054"/>
      <c r="S1288" s="1054"/>
      <c r="T1288" s="1054"/>
      <c r="U1288" s="1054"/>
      <c r="V1288" s="1054"/>
      <c r="W1288" s="1054"/>
      <c r="X1288" s="1054"/>
      <c r="Y1288" s="1054"/>
    </row>
    <row r="1289" spans="1:25">
      <c r="A1289" s="1053"/>
      <c r="B1289" s="1053"/>
      <c r="C1289" s="1053"/>
      <c r="D1289" s="1053"/>
      <c r="E1289" s="1053"/>
      <c r="R1289" s="1054"/>
      <c r="S1289" s="1054"/>
      <c r="T1289" s="1054"/>
      <c r="U1289" s="1054"/>
      <c r="V1289" s="1054"/>
      <c r="W1289" s="1054"/>
      <c r="X1289" s="1054"/>
      <c r="Y1289" s="1054"/>
    </row>
    <row r="1290" spans="1:25">
      <c r="A1290" s="1053"/>
      <c r="B1290" s="1053"/>
      <c r="C1290" s="1053"/>
      <c r="D1290" s="1053"/>
      <c r="E1290" s="1053"/>
      <c r="R1290" s="1054"/>
      <c r="S1290" s="1054"/>
      <c r="T1290" s="1054"/>
      <c r="U1290" s="1054"/>
      <c r="V1290" s="1054"/>
      <c r="W1290" s="1054"/>
      <c r="X1290" s="1054"/>
      <c r="Y1290" s="1054"/>
    </row>
    <row r="1291" spans="1:25">
      <c r="A1291" s="1053"/>
      <c r="B1291" s="1053"/>
      <c r="C1291" s="1053"/>
      <c r="D1291" s="1053"/>
      <c r="E1291" s="1053"/>
      <c r="R1291" s="1054"/>
      <c r="S1291" s="1054"/>
      <c r="T1291" s="1054"/>
      <c r="U1291" s="1054"/>
      <c r="V1291" s="1054"/>
      <c r="W1291" s="1054"/>
      <c r="X1291" s="1054"/>
      <c r="Y1291" s="1054"/>
    </row>
    <row r="1292" spans="1:25">
      <c r="A1292" s="1053"/>
      <c r="B1292" s="1053"/>
      <c r="C1292" s="1053"/>
      <c r="D1292" s="1053"/>
      <c r="E1292" s="1053"/>
      <c r="R1292" s="1054"/>
      <c r="S1292" s="1054"/>
      <c r="T1292" s="1054"/>
      <c r="U1292" s="1054"/>
      <c r="V1292" s="1054"/>
      <c r="W1292" s="1054"/>
      <c r="X1292" s="1054"/>
      <c r="Y1292" s="1054"/>
    </row>
    <row r="1293" spans="1:25">
      <c r="A1293" s="1053"/>
      <c r="B1293" s="1053"/>
      <c r="C1293" s="1053"/>
      <c r="D1293" s="1053"/>
      <c r="E1293" s="1053"/>
      <c r="R1293" s="1054"/>
      <c r="S1293" s="1054"/>
      <c r="T1293" s="1054"/>
      <c r="U1293" s="1054"/>
      <c r="V1293" s="1054"/>
      <c r="W1293" s="1054"/>
      <c r="X1293" s="1054"/>
      <c r="Y1293" s="1054"/>
    </row>
    <row r="1294" spans="1:25">
      <c r="A1294" s="1053"/>
      <c r="B1294" s="1053"/>
      <c r="C1294" s="1053"/>
      <c r="D1294" s="1053"/>
      <c r="E1294" s="1053"/>
      <c r="R1294" s="1054"/>
      <c r="S1294" s="1054"/>
      <c r="T1294" s="1054"/>
      <c r="U1294" s="1054"/>
      <c r="V1294" s="1054"/>
      <c r="W1294" s="1054"/>
      <c r="X1294" s="1054"/>
      <c r="Y1294" s="1054"/>
    </row>
    <row r="1295" spans="1:25">
      <c r="A1295" s="1053"/>
      <c r="B1295" s="1053"/>
      <c r="C1295" s="1053"/>
      <c r="D1295" s="1053"/>
      <c r="E1295" s="1053"/>
      <c r="R1295" s="1054"/>
      <c r="S1295" s="1054"/>
      <c r="T1295" s="1054"/>
      <c r="U1295" s="1054"/>
      <c r="V1295" s="1054"/>
      <c r="W1295" s="1054"/>
      <c r="X1295" s="1054"/>
      <c r="Y1295" s="1054"/>
    </row>
    <row r="1296" spans="1:25">
      <c r="A1296" s="1053"/>
      <c r="B1296" s="1053"/>
      <c r="C1296" s="1053"/>
      <c r="D1296" s="1053"/>
      <c r="E1296" s="1053"/>
      <c r="R1296" s="1054"/>
      <c r="S1296" s="1054"/>
      <c r="T1296" s="1054"/>
      <c r="U1296" s="1054"/>
      <c r="V1296" s="1054"/>
      <c r="W1296" s="1054"/>
      <c r="X1296" s="1054"/>
      <c r="Y1296" s="1054"/>
    </row>
    <row r="1297" spans="1:25">
      <c r="A1297" s="1053"/>
      <c r="B1297" s="1053"/>
      <c r="C1297" s="1053"/>
      <c r="D1297" s="1053"/>
      <c r="E1297" s="1053"/>
      <c r="R1297" s="1054"/>
      <c r="S1297" s="1054"/>
      <c r="T1297" s="1054"/>
      <c r="U1297" s="1054"/>
      <c r="V1297" s="1054"/>
      <c r="W1297" s="1054"/>
      <c r="X1297" s="1054"/>
      <c r="Y1297" s="1054"/>
    </row>
    <row r="1298" spans="1:25">
      <c r="A1298" s="1053"/>
      <c r="B1298" s="1053"/>
      <c r="C1298" s="1053"/>
      <c r="D1298" s="1053"/>
      <c r="E1298" s="1053"/>
      <c r="R1298" s="1054"/>
      <c r="S1298" s="1054"/>
      <c r="T1298" s="1054"/>
      <c r="U1298" s="1054"/>
      <c r="V1298" s="1054"/>
      <c r="W1298" s="1054"/>
      <c r="X1298" s="1054"/>
      <c r="Y1298" s="1054"/>
    </row>
    <row r="1299" spans="1:25">
      <c r="A1299" s="1053"/>
      <c r="B1299" s="1053"/>
      <c r="C1299" s="1053"/>
      <c r="D1299" s="1053"/>
      <c r="E1299" s="1053"/>
      <c r="R1299" s="1054"/>
      <c r="S1299" s="1054"/>
      <c r="T1299" s="1054"/>
      <c r="U1299" s="1054"/>
      <c r="V1299" s="1054"/>
      <c r="W1299" s="1054"/>
      <c r="X1299" s="1054"/>
      <c r="Y1299" s="1054"/>
    </row>
    <row r="1300" spans="1:25">
      <c r="A1300" s="1053"/>
      <c r="B1300" s="1053"/>
      <c r="C1300" s="1053"/>
      <c r="D1300" s="1053"/>
      <c r="E1300" s="1053"/>
      <c r="R1300" s="1054"/>
      <c r="S1300" s="1054"/>
      <c r="T1300" s="1054"/>
      <c r="U1300" s="1054"/>
      <c r="V1300" s="1054"/>
      <c r="W1300" s="1054"/>
      <c r="X1300" s="1054"/>
      <c r="Y1300" s="1054"/>
    </row>
    <row r="1301" spans="1:25">
      <c r="A1301" s="1053"/>
      <c r="B1301" s="1053"/>
      <c r="C1301" s="1053"/>
      <c r="D1301" s="1053"/>
      <c r="E1301" s="1053"/>
      <c r="R1301" s="1054"/>
      <c r="S1301" s="1054"/>
      <c r="T1301" s="1054"/>
      <c r="U1301" s="1054"/>
      <c r="V1301" s="1054"/>
      <c r="W1301" s="1054"/>
      <c r="X1301" s="1054"/>
      <c r="Y1301" s="1054"/>
    </row>
    <row r="1302" spans="1:25">
      <c r="A1302" s="1053"/>
      <c r="B1302" s="1053"/>
      <c r="C1302" s="1053"/>
      <c r="D1302" s="1053"/>
      <c r="E1302" s="1053"/>
      <c r="R1302" s="1054"/>
      <c r="S1302" s="1054"/>
      <c r="T1302" s="1054"/>
      <c r="U1302" s="1054"/>
      <c r="V1302" s="1054"/>
      <c r="W1302" s="1054"/>
      <c r="X1302" s="1054"/>
      <c r="Y1302" s="1054"/>
    </row>
    <row r="1303" spans="1:25">
      <c r="A1303" s="1053"/>
      <c r="B1303" s="1053"/>
      <c r="C1303" s="1053"/>
      <c r="D1303" s="1053"/>
      <c r="E1303" s="1053"/>
      <c r="R1303" s="1054"/>
      <c r="S1303" s="1054"/>
      <c r="T1303" s="1054"/>
      <c r="U1303" s="1054"/>
      <c r="V1303" s="1054"/>
      <c r="W1303" s="1054"/>
      <c r="X1303" s="1054"/>
      <c r="Y1303" s="1054"/>
    </row>
    <row r="1304" spans="1:25">
      <c r="A1304" s="1053"/>
      <c r="B1304" s="1053"/>
      <c r="C1304" s="1053"/>
      <c r="D1304" s="1053"/>
      <c r="E1304" s="1053"/>
      <c r="R1304" s="1054"/>
      <c r="S1304" s="1054"/>
      <c r="T1304" s="1054"/>
      <c r="U1304" s="1054"/>
      <c r="V1304" s="1054"/>
      <c r="W1304" s="1054"/>
      <c r="X1304" s="1054"/>
      <c r="Y1304" s="1054"/>
    </row>
    <row r="1305" spans="1:25">
      <c r="A1305" s="1053"/>
      <c r="B1305" s="1053"/>
      <c r="C1305" s="1053"/>
      <c r="D1305" s="1053"/>
      <c r="E1305" s="1053"/>
      <c r="R1305" s="1054"/>
      <c r="S1305" s="1054"/>
      <c r="T1305" s="1054"/>
      <c r="U1305" s="1054"/>
      <c r="V1305" s="1054"/>
      <c r="W1305" s="1054"/>
      <c r="X1305" s="1054"/>
      <c r="Y1305" s="1054"/>
    </row>
    <row r="1306" spans="1:25">
      <c r="A1306" s="1053"/>
      <c r="B1306" s="1053"/>
      <c r="C1306" s="1053"/>
      <c r="D1306" s="1053"/>
      <c r="E1306" s="1053"/>
      <c r="R1306" s="1054"/>
      <c r="S1306" s="1054"/>
      <c r="T1306" s="1054"/>
      <c r="U1306" s="1054"/>
      <c r="V1306" s="1054"/>
      <c r="W1306" s="1054"/>
      <c r="X1306" s="1054"/>
      <c r="Y1306" s="1054"/>
    </row>
    <row r="1307" spans="1:25">
      <c r="A1307" s="1053"/>
      <c r="B1307" s="1053"/>
      <c r="C1307" s="1053"/>
      <c r="D1307" s="1053"/>
      <c r="E1307" s="1053"/>
      <c r="R1307" s="1054"/>
      <c r="S1307" s="1054"/>
      <c r="T1307" s="1054"/>
      <c r="U1307" s="1054"/>
      <c r="V1307" s="1054"/>
      <c r="W1307" s="1054"/>
      <c r="X1307" s="1054"/>
      <c r="Y1307" s="1054"/>
    </row>
    <row r="1308" spans="1:25">
      <c r="A1308" s="1053"/>
      <c r="B1308" s="1053"/>
      <c r="C1308" s="1053"/>
      <c r="D1308" s="1053"/>
      <c r="E1308" s="1053"/>
      <c r="R1308" s="1054"/>
      <c r="S1308" s="1054"/>
      <c r="T1308" s="1054"/>
      <c r="U1308" s="1054"/>
      <c r="V1308" s="1054"/>
      <c r="W1308" s="1054"/>
      <c r="X1308" s="1054"/>
      <c r="Y1308" s="1054"/>
    </row>
    <row r="1309" spans="1:25">
      <c r="A1309" s="1053"/>
      <c r="B1309" s="1053"/>
      <c r="C1309" s="1053"/>
      <c r="D1309" s="1053"/>
      <c r="E1309" s="1053"/>
      <c r="R1309" s="1054"/>
      <c r="S1309" s="1054"/>
      <c r="T1309" s="1054"/>
      <c r="U1309" s="1054"/>
      <c r="V1309" s="1054"/>
      <c r="W1309" s="1054"/>
      <c r="X1309" s="1054"/>
      <c r="Y1309" s="1054"/>
    </row>
    <row r="1310" spans="1:25">
      <c r="A1310" s="1053"/>
      <c r="B1310" s="1053"/>
      <c r="C1310" s="1053"/>
      <c r="D1310" s="1053"/>
      <c r="E1310" s="1053"/>
      <c r="R1310" s="1054"/>
      <c r="S1310" s="1054"/>
      <c r="T1310" s="1054"/>
      <c r="U1310" s="1054"/>
      <c r="V1310" s="1054"/>
      <c r="W1310" s="1054"/>
      <c r="X1310" s="1054"/>
      <c r="Y1310" s="1054"/>
    </row>
    <row r="1311" spans="1:25">
      <c r="A1311" s="1053"/>
      <c r="B1311" s="1053"/>
      <c r="C1311" s="1053"/>
      <c r="D1311" s="1053"/>
      <c r="E1311" s="1053"/>
      <c r="R1311" s="1054"/>
      <c r="S1311" s="1054"/>
      <c r="T1311" s="1054"/>
      <c r="U1311" s="1054"/>
      <c r="V1311" s="1054"/>
      <c r="W1311" s="1054"/>
      <c r="X1311" s="1054"/>
      <c r="Y1311" s="1054"/>
    </row>
    <row r="1312" spans="1:25">
      <c r="A1312" s="1053"/>
      <c r="B1312" s="1053"/>
      <c r="C1312" s="1053"/>
      <c r="D1312" s="1053"/>
      <c r="E1312" s="1053"/>
      <c r="R1312" s="1054"/>
      <c r="S1312" s="1054"/>
      <c r="T1312" s="1054"/>
      <c r="U1312" s="1054"/>
      <c r="V1312" s="1054"/>
      <c r="W1312" s="1054"/>
      <c r="X1312" s="1054"/>
      <c r="Y1312" s="1054"/>
    </row>
    <row r="1313" spans="1:25">
      <c r="A1313" s="1053"/>
      <c r="B1313" s="1053"/>
      <c r="C1313" s="1053"/>
      <c r="D1313" s="1053"/>
      <c r="E1313" s="1053"/>
      <c r="R1313" s="1054"/>
      <c r="S1313" s="1054"/>
      <c r="T1313" s="1054"/>
      <c r="U1313" s="1054"/>
      <c r="V1313" s="1054"/>
      <c r="W1313" s="1054"/>
      <c r="X1313" s="1054"/>
      <c r="Y1313" s="1054"/>
    </row>
    <row r="1314" spans="1:25">
      <c r="A1314" s="1053"/>
      <c r="B1314" s="1053"/>
      <c r="C1314" s="1053"/>
      <c r="D1314" s="1053"/>
      <c r="E1314" s="1053"/>
      <c r="R1314" s="1054"/>
      <c r="S1314" s="1054"/>
      <c r="T1314" s="1054"/>
      <c r="U1314" s="1054"/>
      <c r="V1314" s="1054"/>
      <c r="W1314" s="1054"/>
      <c r="X1314" s="1054"/>
      <c r="Y1314" s="1054"/>
    </row>
    <row r="1315" spans="1:25">
      <c r="A1315" s="1053"/>
      <c r="B1315" s="1053"/>
      <c r="C1315" s="1053"/>
      <c r="D1315" s="1053"/>
      <c r="E1315" s="1053"/>
      <c r="R1315" s="1054"/>
      <c r="S1315" s="1054"/>
      <c r="T1315" s="1054"/>
      <c r="U1315" s="1054"/>
      <c r="V1315" s="1054"/>
      <c r="W1315" s="1054"/>
      <c r="X1315" s="1054"/>
      <c r="Y1315" s="1054"/>
    </row>
    <row r="1316" spans="1:25">
      <c r="A1316" s="1053"/>
      <c r="B1316" s="1053"/>
      <c r="C1316" s="1053"/>
      <c r="D1316" s="1053"/>
      <c r="E1316" s="1053"/>
      <c r="R1316" s="1054"/>
      <c r="S1316" s="1054"/>
      <c r="T1316" s="1054"/>
      <c r="U1316" s="1054"/>
      <c r="V1316" s="1054"/>
      <c r="W1316" s="1054"/>
      <c r="X1316" s="1054"/>
      <c r="Y1316" s="1054"/>
    </row>
    <row r="1317" spans="1:25">
      <c r="A1317" s="1053"/>
      <c r="B1317" s="1053"/>
      <c r="C1317" s="1053"/>
      <c r="D1317" s="1053"/>
      <c r="E1317" s="1053"/>
      <c r="R1317" s="1054"/>
      <c r="S1317" s="1054"/>
      <c r="T1317" s="1054"/>
      <c r="U1317" s="1054"/>
      <c r="V1317" s="1054"/>
      <c r="W1317" s="1054"/>
      <c r="X1317" s="1054"/>
      <c r="Y1317" s="1054"/>
    </row>
    <row r="1318" spans="1:25">
      <c r="A1318" s="1053"/>
      <c r="B1318" s="1053"/>
      <c r="C1318" s="1053"/>
      <c r="D1318" s="1053"/>
      <c r="E1318" s="1053"/>
      <c r="R1318" s="1054"/>
      <c r="S1318" s="1054"/>
      <c r="T1318" s="1054"/>
      <c r="U1318" s="1054"/>
      <c r="V1318" s="1054"/>
      <c r="W1318" s="1054"/>
      <c r="X1318" s="1054"/>
      <c r="Y1318" s="1054"/>
    </row>
    <row r="1319" spans="1:25">
      <c r="A1319" s="1053"/>
      <c r="B1319" s="1053"/>
      <c r="C1319" s="1053"/>
      <c r="D1319" s="1053"/>
      <c r="E1319" s="1053"/>
      <c r="R1319" s="1054"/>
      <c r="S1319" s="1054"/>
      <c r="T1319" s="1054"/>
      <c r="U1319" s="1054"/>
      <c r="V1319" s="1054"/>
      <c r="W1319" s="1054"/>
      <c r="X1319" s="1054"/>
      <c r="Y1319" s="1054"/>
    </row>
    <row r="1320" spans="1:25">
      <c r="A1320" s="1053"/>
      <c r="B1320" s="1053"/>
      <c r="C1320" s="1053"/>
      <c r="D1320" s="1053"/>
      <c r="E1320" s="1053"/>
      <c r="R1320" s="1054"/>
      <c r="S1320" s="1054"/>
      <c r="T1320" s="1054"/>
      <c r="U1320" s="1054"/>
      <c r="V1320" s="1054"/>
      <c r="W1320" s="1054"/>
      <c r="X1320" s="1054"/>
      <c r="Y1320" s="1054"/>
    </row>
    <row r="1321" spans="1:25">
      <c r="A1321" s="1053"/>
      <c r="B1321" s="1053"/>
      <c r="C1321" s="1053"/>
      <c r="D1321" s="1053"/>
      <c r="E1321" s="1053"/>
      <c r="R1321" s="1054"/>
      <c r="S1321" s="1054"/>
      <c r="T1321" s="1054"/>
      <c r="U1321" s="1054"/>
      <c r="V1321" s="1054"/>
      <c r="W1321" s="1054"/>
      <c r="X1321" s="1054"/>
      <c r="Y1321" s="1054"/>
    </row>
    <row r="1322" spans="1:25">
      <c r="A1322" s="1053"/>
      <c r="B1322" s="1053"/>
      <c r="C1322" s="1053"/>
      <c r="D1322" s="1053"/>
      <c r="E1322" s="1053"/>
      <c r="R1322" s="1054"/>
      <c r="S1322" s="1054"/>
      <c r="T1322" s="1054"/>
      <c r="U1322" s="1054"/>
      <c r="V1322" s="1054"/>
      <c r="W1322" s="1054"/>
      <c r="X1322" s="1054"/>
      <c r="Y1322" s="1054"/>
    </row>
    <row r="1323" spans="1:25">
      <c r="A1323" s="1053"/>
      <c r="B1323" s="1053"/>
      <c r="C1323" s="1053"/>
      <c r="D1323" s="1053"/>
      <c r="E1323" s="1053"/>
      <c r="R1323" s="1054"/>
      <c r="S1323" s="1054"/>
      <c r="T1323" s="1054"/>
      <c r="U1323" s="1054"/>
      <c r="V1323" s="1054"/>
      <c r="W1323" s="1054"/>
      <c r="X1323" s="1054"/>
      <c r="Y1323" s="1054"/>
    </row>
    <row r="1324" spans="1:25">
      <c r="A1324" s="1053"/>
      <c r="B1324" s="1053"/>
      <c r="C1324" s="1053"/>
      <c r="D1324" s="1053"/>
      <c r="E1324" s="1053"/>
      <c r="R1324" s="1054"/>
      <c r="S1324" s="1054"/>
      <c r="T1324" s="1054"/>
      <c r="U1324" s="1054"/>
      <c r="V1324" s="1054"/>
      <c r="W1324" s="1054"/>
      <c r="X1324" s="1054"/>
      <c r="Y1324" s="1054"/>
    </row>
    <row r="1325" spans="1:25">
      <c r="A1325" s="1053"/>
      <c r="B1325" s="1053"/>
      <c r="C1325" s="1053"/>
      <c r="D1325" s="1053"/>
      <c r="E1325" s="1053"/>
      <c r="R1325" s="1054"/>
      <c r="S1325" s="1054"/>
      <c r="T1325" s="1054"/>
      <c r="U1325" s="1054"/>
      <c r="V1325" s="1054"/>
      <c r="W1325" s="1054"/>
      <c r="X1325" s="1054"/>
      <c r="Y1325" s="1054"/>
    </row>
    <row r="1326" spans="1:25">
      <c r="A1326" s="1053"/>
      <c r="B1326" s="1053"/>
      <c r="C1326" s="1053"/>
      <c r="D1326" s="1053"/>
      <c r="E1326" s="1053"/>
      <c r="R1326" s="1054"/>
      <c r="S1326" s="1054"/>
      <c r="T1326" s="1054"/>
      <c r="U1326" s="1054"/>
      <c r="V1326" s="1054"/>
      <c r="W1326" s="1054"/>
      <c r="X1326" s="1054"/>
      <c r="Y1326" s="1054"/>
    </row>
    <row r="1327" spans="1:25">
      <c r="A1327" s="1053"/>
      <c r="B1327" s="1053"/>
      <c r="C1327" s="1053"/>
      <c r="D1327" s="1053"/>
      <c r="E1327" s="1053"/>
      <c r="R1327" s="1054"/>
      <c r="S1327" s="1054"/>
      <c r="T1327" s="1054"/>
      <c r="U1327" s="1054"/>
      <c r="V1327" s="1054"/>
      <c r="W1327" s="1054"/>
      <c r="X1327" s="1054"/>
      <c r="Y1327" s="1054"/>
    </row>
    <row r="1328" spans="1:25">
      <c r="A1328" s="1053"/>
      <c r="B1328" s="1053"/>
      <c r="C1328" s="1053"/>
      <c r="D1328" s="1053"/>
      <c r="E1328" s="1053"/>
      <c r="R1328" s="1054"/>
      <c r="S1328" s="1054"/>
      <c r="T1328" s="1054"/>
      <c r="U1328" s="1054"/>
      <c r="V1328" s="1054"/>
      <c r="W1328" s="1054"/>
      <c r="X1328" s="1054"/>
      <c r="Y1328" s="1054"/>
    </row>
    <row r="1329" spans="1:25">
      <c r="A1329" s="1053"/>
      <c r="B1329" s="1053"/>
      <c r="C1329" s="1053"/>
      <c r="D1329" s="1053"/>
      <c r="E1329" s="1053"/>
      <c r="R1329" s="1054"/>
      <c r="S1329" s="1054"/>
      <c r="T1329" s="1054"/>
      <c r="U1329" s="1054"/>
      <c r="V1329" s="1054"/>
      <c r="W1329" s="1054"/>
      <c r="X1329" s="1054"/>
      <c r="Y1329" s="1054"/>
    </row>
    <row r="1330" spans="1:25">
      <c r="A1330" s="1053"/>
      <c r="B1330" s="1053"/>
      <c r="C1330" s="1053"/>
      <c r="D1330" s="1053"/>
      <c r="E1330" s="1053"/>
      <c r="R1330" s="1054"/>
      <c r="S1330" s="1054"/>
      <c r="T1330" s="1054"/>
      <c r="U1330" s="1054"/>
      <c r="V1330" s="1054"/>
      <c r="W1330" s="1054"/>
      <c r="X1330" s="1054"/>
      <c r="Y1330" s="1054"/>
    </row>
    <row r="1331" spans="1:25">
      <c r="A1331" s="1053"/>
      <c r="B1331" s="1053"/>
      <c r="C1331" s="1053"/>
      <c r="D1331" s="1053"/>
      <c r="E1331" s="1053"/>
      <c r="R1331" s="1054"/>
      <c r="S1331" s="1054"/>
      <c r="T1331" s="1054"/>
      <c r="U1331" s="1054"/>
      <c r="V1331" s="1054"/>
      <c r="W1331" s="1054"/>
      <c r="X1331" s="1054"/>
      <c r="Y1331" s="1054"/>
    </row>
    <row r="1332" spans="1:25">
      <c r="A1332" s="1053"/>
      <c r="B1332" s="1053"/>
      <c r="C1332" s="1053"/>
      <c r="D1332" s="1053"/>
      <c r="E1332" s="1053"/>
      <c r="R1332" s="1054"/>
      <c r="S1332" s="1054"/>
      <c r="T1332" s="1054"/>
      <c r="U1332" s="1054"/>
      <c r="V1332" s="1054"/>
      <c r="W1332" s="1054"/>
      <c r="X1332" s="1054"/>
      <c r="Y1332" s="1054"/>
    </row>
    <row r="1333" spans="1:25">
      <c r="A1333" s="1053"/>
      <c r="B1333" s="1053"/>
      <c r="C1333" s="1053"/>
      <c r="D1333" s="1053"/>
      <c r="E1333" s="1053"/>
      <c r="R1333" s="1054"/>
      <c r="S1333" s="1054"/>
      <c r="T1333" s="1054"/>
      <c r="U1333" s="1054"/>
      <c r="V1333" s="1054"/>
      <c r="W1333" s="1054"/>
      <c r="X1333" s="1054"/>
      <c r="Y1333" s="1054"/>
    </row>
    <row r="1334" spans="1:25">
      <c r="A1334" s="1053"/>
      <c r="B1334" s="1053"/>
      <c r="C1334" s="1053"/>
      <c r="D1334" s="1053"/>
      <c r="E1334" s="1053"/>
      <c r="R1334" s="1054"/>
      <c r="S1334" s="1054"/>
      <c r="T1334" s="1054"/>
      <c r="U1334" s="1054"/>
      <c r="V1334" s="1054"/>
      <c r="W1334" s="1054"/>
      <c r="X1334" s="1054"/>
      <c r="Y1334" s="1054"/>
    </row>
    <row r="1335" spans="1:25">
      <c r="A1335" s="1053"/>
      <c r="B1335" s="1053"/>
      <c r="C1335" s="1053"/>
      <c r="D1335" s="1053"/>
      <c r="E1335" s="1053"/>
      <c r="R1335" s="1054"/>
      <c r="S1335" s="1054"/>
      <c r="T1335" s="1054"/>
      <c r="U1335" s="1054"/>
      <c r="V1335" s="1054"/>
      <c r="W1335" s="1054"/>
      <c r="X1335" s="1054"/>
      <c r="Y1335" s="1054"/>
    </row>
    <row r="1336" spans="1:25">
      <c r="A1336" s="1053"/>
      <c r="B1336" s="1053"/>
      <c r="C1336" s="1053"/>
      <c r="D1336" s="1053"/>
      <c r="E1336" s="1053"/>
      <c r="R1336" s="1054"/>
      <c r="S1336" s="1054"/>
      <c r="T1336" s="1054"/>
      <c r="U1336" s="1054"/>
      <c r="V1336" s="1054"/>
      <c r="W1336" s="1054"/>
      <c r="X1336" s="1054"/>
      <c r="Y1336" s="1054"/>
    </row>
    <row r="1337" spans="1:25">
      <c r="A1337" s="1053"/>
      <c r="B1337" s="1053"/>
      <c r="C1337" s="1053"/>
      <c r="D1337" s="1053"/>
      <c r="E1337" s="1053"/>
      <c r="R1337" s="1054"/>
      <c r="S1337" s="1054"/>
      <c r="T1337" s="1054"/>
      <c r="U1337" s="1054"/>
      <c r="V1337" s="1054"/>
      <c r="W1337" s="1054"/>
      <c r="X1337" s="1054"/>
      <c r="Y1337" s="1054"/>
    </row>
    <row r="1338" spans="1:25">
      <c r="A1338" s="1053"/>
      <c r="B1338" s="1053"/>
      <c r="C1338" s="1053"/>
      <c r="D1338" s="1053"/>
      <c r="E1338" s="1053"/>
      <c r="R1338" s="1054"/>
      <c r="S1338" s="1054"/>
      <c r="T1338" s="1054"/>
      <c r="U1338" s="1054"/>
      <c r="V1338" s="1054"/>
      <c r="W1338" s="1054"/>
      <c r="X1338" s="1054"/>
      <c r="Y1338" s="1054"/>
    </row>
    <row r="1339" spans="1:25">
      <c r="A1339" s="1053"/>
      <c r="B1339" s="1053"/>
      <c r="C1339" s="1053"/>
      <c r="D1339" s="1053"/>
      <c r="E1339" s="1053"/>
      <c r="R1339" s="1054"/>
      <c r="S1339" s="1054"/>
      <c r="T1339" s="1054"/>
      <c r="U1339" s="1054"/>
      <c r="V1339" s="1054"/>
      <c r="W1339" s="1054"/>
      <c r="X1339" s="1054"/>
      <c r="Y1339" s="1054"/>
    </row>
    <row r="1340" spans="1:25">
      <c r="A1340" s="1053"/>
      <c r="B1340" s="1053"/>
      <c r="C1340" s="1053"/>
      <c r="D1340" s="1053"/>
      <c r="E1340" s="1053"/>
      <c r="R1340" s="1054"/>
      <c r="S1340" s="1054"/>
      <c r="T1340" s="1054"/>
      <c r="U1340" s="1054"/>
      <c r="V1340" s="1054"/>
      <c r="W1340" s="1054"/>
      <c r="X1340" s="1054"/>
      <c r="Y1340" s="1054"/>
    </row>
    <row r="1341" spans="1:25">
      <c r="A1341" s="1053"/>
      <c r="B1341" s="1053"/>
      <c r="C1341" s="1053"/>
      <c r="D1341" s="1053"/>
      <c r="E1341" s="1053"/>
      <c r="R1341" s="1054"/>
      <c r="S1341" s="1054"/>
      <c r="T1341" s="1054"/>
      <c r="U1341" s="1054"/>
      <c r="V1341" s="1054"/>
      <c r="W1341" s="1054"/>
      <c r="X1341" s="1054"/>
      <c r="Y1341" s="1054"/>
    </row>
    <row r="1342" spans="1:25">
      <c r="A1342" s="1053"/>
      <c r="B1342" s="1053"/>
      <c r="C1342" s="1053"/>
      <c r="D1342" s="1053"/>
      <c r="E1342" s="1053"/>
      <c r="R1342" s="1054"/>
      <c r="S1342" s="1054"/>
      <c r="T1342" s="1054"/>
      <c r="U1342" s="1054"/>
      <c r="V1342" s="1054"/>
      <c r="W1342" s="1054"/>
      <c r="X1342" s="1054"/>
      <c r="Y1342" s="1054"/>
    </row>
    <row r="1343" spans="1:25">
      <c r="A1343" s="1053"/>
      <c r="B1343" s="1053"/>
      <c r="C1343" s="1053"/>
      <c r="D1343" s="1053"/>
      <c r="E1343" s="1053"/>
      <c r="R1343" s="1054"/>
      <c r="S1343" s="1054"/>
      <c r="T1343" s="1054"/>
      <c r="U1343" s="1054"/>
      <c r="V1343" s="1054"/>
      <c r="W1343" s="1054"/>
      <c r="X1343" s="1054"/>
      <c r="Y1343" s="1054"/>
    </row>
    <row r="1344" spans="1:25">
      <c r="A1344" s="1053"/>
      <c r="B1344" s="1053"/>
      <c r="C1344" s="1053"/>
      <c r="D1344" s="1053"/>
      <c r="E1344" s="1053"/>
      <c r="R1344" s="1054"/>
      <c r="S1344" s="1054"/>
      <c r="T1344" s="1054"/>
      <c r="U1344" s="1054"/>
      <c r="V1344" s="1054"/>
      <c r="W1344" s="1054"/>
      <c r="X1344" s="1054"/>
      <c r="Y1344" s="1054"/>
    </row>
    <row r="1345" spans="1:25">
      <c r="A1345" s="1053"/>
      <c r="B1345" s="1053"/>
      <c r="C1345" s="1053"/>
      <c r="D1345" s="1053"/>
      <c r="E1345" s="1053"/>
      <c r="R1345" s="1054"/>
      <c r="S1345" s="1054"/>
      <c r="T1345" s="1054"/>
      <c r="U1345" s="1054"/>
      <c r="V1345" s="1054"/>
      <c r="W1345" s="1054"/>
      <c r="X1345" s="1054"/>
      <c r="Y1345" s="1054"/>
    </row>
    <row r="1346" spans="1:25">
      <c r="A1346" s="1053"/>
      <c r="B1346" s="1053"/>
      <c r="C1346" s="1053"/>
      <c r="D1346" s="1053"/>
      <c r="E1346" s="1053"/>
      <c r="R1346" s="1054"/>
      <c r="S1346" s="1054"/>
      <c r="T1346" s="1054"/>
      <c r="U1346" s="1054"/>
      <c r="V1346" s="1054"/>
      <c r="W1346" s="1054"/>
      <c r="X1346" s="1054"/>
      <c r="Y1346" s="1054"/>
    </row>
    <row r="1347" spans="1:25">
      <c r="A1347" s="1053"/>
      <c r="B1347" s="1053"/>
      <c r="C1347" s="1053"/>
      <c r="D1347" s="1053"/>
      <c r="E1347" s="1053"/>
      <c r="R1347" s="1054"/>
      <c r="S1347" s="1054"/>
      <c r="T1347" s="1054"/>
      <c r="U1347" s="1054"/>
      <c r="V1347" s="1054"/>
      <c r="W1347" s="1054"/>
      <c r="X1347" s="1054"/>
      <c r="Y1347" s="1054"/>
    </row>
    <row r="1348" spans="1:25">
      <c r="A1348" s="1053"/>
      <c r="B1348" s="1053"/>
      <c r="C1348" s="1053"/>
      <c r="D1348" s="1053"/>
      <c r="E1348" s="1053"/>
      <c r="R1348" s="1054"/>
      <c r="S1348" s="1054"/>
      <c r="T1348" s="1054"/>
      <c r="U1348" s="1054"/>
      <c r="V1348" s="1054"/>
      <c r="W1348" s="1054"/>
      <c r="X1348" s="1054"/>
      <c r="Y1348" s="1054"/>
    </row>
    <row r="1349" spans="1:25">
      <c r="A1349" s="1053"/>
      <c r="B1349" s="1053"/>
      <c r="C1349" s="1053"/>
      <c r="D1349" s="1053"/>
      <c r="E1349" s="1053"/>
      <c r="R1349" s="1054"/>
      <c r="S1349" s="1054"/>
      <c r="T1349" s="1054"/>
      <c r="U1349" s="1054"/>
      <c r="V1349" s="1054"/>
      <c r="W1349" s="1054"/>
      <c r="X1349" s="1054"/>
      <c r="Y1349" s="1054"/>
    </row>
    <row r="1350" spans="1:25">
      <c r="A1350" s="1053"/>
      <c r="B1350" s="1053"/>
      <c r="C1350" s="1053"/>
      <c r="D1350" s="1053"/>
      <c r="E1350" s="1053"/>
      <c r="R1350" s="1054"/>
      <c r="S1350" s="1054"/>
      <c r="T1350" s="1054"/>
      <c r="U1350" s="1054"/>
      <c r="V1350" s="1054"/>
      <c r="W1350" s="1054"/>
      <c r="X1350" s="1054"/>
      <c r="Y1350" s="1054"/>
    </row>
    <row r="1351" spans="1:25">
      <c r="A1351" s="1053"/>
      <c r="B1351" s="1053"/>
      <c r="C1351" s="1053"/>
      <c r="D1351" s="1053"/>
      <c r="E1351" s="1053"/>
      <c r="R1351" s="1054"/>
      <c r="S1351" s="1054"/>
      <c r="T1351" s="1054"/>
      <c r="U1351" s="1054"/>
      <c r="V1351" s="1054"/>
      <c r="W1351" s="1054"/>
      <c r="X1351" s="1054"/>
      <c r="Y1351" s="1054"/>
    </row>
    <row r="1352" spans="1:25">
      <c r="A1352" s="1053"/>
      <c r="B1352" s="1053"/>
      <c r="C1352" s="1053"/>
      <c r="D1352" s="1053"/>
      <c r="E1352" s="1053"/>
      <c r="R1352" s="1054"/>
      <c r="S1352" s="1054"/>
      <c r="T1352" s="1054"/>
      <c r="U1352" s="1054"/>
      <c r="V1352" s="1054"/>
      <c r="W1352" s="1054"/>
      <c r="X1352" s="1054"/>
      <c r="Y1352" s="1054"/>
    </row>
    <row r="1353" spans="1:25">
      <c r="A1353" s="1053"/>
      <c r="B1353" s="1053"/>
      <c r="C1353" s="1053"/>
      <c r="D1353" s="1053"/>
      <c r="E1353" s="1053"/>
      <c r="R1353" s="1054"/>
      <c r="S1353" s="1054"/>
      <c r="T1353" s="1054"/>
      <c r="U1353" s="1054"/>
      <c r="V1353" s="1054"/>
      <c r="W1353" s="1054"/>
      <c r="X1353" s="1054"/>
      <c r="Y1353" s="1054"/>
    </row>
    <row r="1354" spans="1:25">
      <c r="A1354" s="1053"/>
      <c r="B1354" s="1053"/>
      <c r="C1354" s="1053"/>
      <c r="D1354" s="1053"/>
      <c r="E1354" s="1053"/>
      <c r="R1354" s="1054"/>
      <c r="S1354" s="1054"/>
      <c r="T1354" s="1054"/>
      <c r="U1354" s="1054"/>
      <c r="V1354" s="1054"/>
      <c r="W1354" s="1054"/>
      <c r="X1354" s="1054"/>
      <c r="Y1354" s="1054"/>
    </row>
    <row r="1355" spans="1:25">
      <c r="A1355" s="1053"/>
      <c r="B1355" s="1053"/>
      <c r="C1355" s="1053"/>
      <c r="D1355" s="1053"/>
      <c r="E1355" s="1053"/>
      <c r="R1355" s="1054"/>
      <c r="S1355" s="1054"/>
      <c r="T1355" s="1054"/>
      <c r="U1355" s="1054"/>
      <c r="V1355" s="1054"/>
      <c r="W1355" s="1054"/>
      <c r="X1355" s="1054"/>
      <c r="Y1355" s="1054"/>
    </row>
    <row r="1356" spans="1:25">
      <c r="A1356" s="1053"/>
      <c r="B1356" s="1053"/>
      <c r="C1356" s="1053"/>
      <c r="D1356" s="1053"/>
      <c r="E1356" s="1053"/>
      <c r="R1356" s="1054"/>
      <c r="S1356" s="1054"/>
      <c r="T1356" s="1054"/>
      <c r="U1356" s="1054"/>
      <c r="V1356" s="1054"/>
      <c r="W1356" s="1054"/>
      <c r="X1356" s="1054"/>
      <c r="Y1356" s="1054"/>
    </row>
    <row r="1357" spans="1:25">
      <c r="A1357" s="1053"/>
      <c r="B1357" s="1053"/>
      <c r="C1357" s="1053"/>
      <c r="D1357" s="1053"/>
      <c r="E1357" s="1053"/>
      <c r="R1357" s="1054"/>
      <c r="S1357" s="1054"/>
      <c r="T1357" s="1054"/>
      <c r="U1357" s="1054"/>
      <c r="V1357" s="1054"/>
      <c r="W1357" s="1054"/>
      <c r="X1357" s="1054"/>
      <c r="Y1357" s="1054"/>
    </row>
    <row r="1358" spans="1:25">
      <c r="A1358" s="1053"/>
      <c r="B1358" s="1053"/>
      <c r="C1358" s="1053"/>
      <c r="D1358" s="1053"/>
      <c r="E1358" s="1053"/>
      <c r="R1358" s="1054"/>
      <c r="S1358" s="1054"/>
      <c r="T1358" s="1054"/>
      <c r="U1358" s="1054"/>
      <c r="V1358" s="1054"/>
      <c r="W1358" s="1054"/>
      <c r="X1358" s="1054"/>
      <c r="Y1358" s="1054"/>
    </row>
    <row r="1359" spans="1:25">
      <c r="A1359" s="1053"/>
      <c r="B1359" s="1053"/>
      <c r="C1359" s="1053"/>
      <c r="D1359" s="1053"/>
      <c r="E1359" s="1053"/>
      <c r="R1359" s="1054"/>
      <c r="S1359" s="1054"/>
      <c r="T1359" s="1054"/>
      <c r="U1359" s="1054"/>
      <c r="V1359" s="1054"/>
      <c r="W1359" s="1054"/>
      <c r="X1359" s="1054"/>
      <c r="Y1359" s="1054"/>
    </row>
    <row r="1360" spans="1:25">
      <c r="A1360" s="1053"/>
      <c r="B1360" s="1053"/>
      <c r="C1360" s="1053"/>
      <c r="D1360" s="1053"/>
      <c r="E1360" s="1053"/>
      <c r="R1360" s="1054"/>
      <c r="S1360" s="1054"/>
      <c r="T1360" s="1054"/>
      <c r="U1360" s="1054"/>
      <c r="V1360" s="1054"/>
      <c r="W1360" s="1054"/>
      <c r="X1360" s="1054"/>
      <c r="Y1360" s="1054"/>
    </row>
    <row r="1361" spans="1:25">
      <c r="A1361" s="1053"/>
      <c r="B1361" s="1053"/>
      <c r="C1361" s="1053"/>
      <c r="D1361" s="1053"/>
      <c r="E1361" s="1053"/>
      <c r="R1361" s="1054"/>
      <c r="S1361" s="1054"/>
      <c r="T1361" s="1054"/>
      <c r="U1361" s="1054"/>
      <c r="V1361" s="1054"/>
      <c r="W1361" s="1054"/>
      <c r="X1361" s="1054"/>
      <c r="Y1361" s="1054"/>
    </row>
    <row r="1362" spans="1:25">
      <c r="A1362" s="1053"/>
      <c r="B1362" s="1053"/>
      <c r="C1362" s="1053"/>
      <c r="D1362" s="1053"/>
      <c r="E1362" s="1053"/>
      <c r="R1362" s="1054"/>
      <c r="S1362" s="1054"/>
      <c r="T1362" s="1054"/>
      <c r="U1362" s="1054"/>
      <c r="V1362" s="1054"/>
      <c r="W1362" s="1054"/>
      <c r="X1362" s="1054"/>
      <c r="Y1362" s="1054"/>
    </row>
    <row r="1363" spans="1:25">
      <c r="A1363" s="1053"/>
      <c r="B1363" s="1053"/>
      <c r="C1363" s="1053"/>
      <c r="D1363" s="1053"/>
      <c r="E1363" s="1053"/>
      <c r="R1363" s="1054"/>
      <c r="S1363" s="1054"/>
      <c r="T1363" s="1054"/>
      <c r="U1363" s="1054"/>
      <c r="V1363" s="1054"/>
      <c r="W1363" s="1054"/>
      <c r="X1363" s="1054"/>
      <c r="Y1363" s="1054"/>
    </row>
    <row r="1364" spans="1:25">
      <c r="A1364" s="1053"/>
      <c r="B1364" s="1053"/>
      <c r="C1364" s="1053"/>
      <c r="D1364" s="1053"/>
      <c r="E1364" s="1053"/>
      <c r="R1364" s="1054"/>
      <c r="S1364" s="1054"/>
      <c r="T1364" s="1054"/>
      <c r="U1364" s="1054"/>
      <c r="V1364" s="1054"/>
      <c r="W1364" s="1054"/>
      <c r="X1364" s="1054"/>
      <c r="Y1364" s="1054"/>
    </row>
    <row r="1365" spans="1:25">
      <c r="A1365" s="1053"/>
      <c r="B1365" s="1053"/>
      <c r="C1365" s="1053"/>
      <c r="D1365" s="1053"/>
      <c r="E1365" s="1053"/>
      <c r="R1365" s="1054"/>
      <c r="S1365" s="1054"/>
      <c r="T1365" s="1054"/>
      <c r="U1365" s="1054"/>
      <c r="V1365" s="1054"/>
      <c r="W1365" s="1054"/>
      <c r="X1365" s="1054"/>
      <c r="Y1365" s="1054"/>
    </row>
    <row r="1366" spans="1:25">
      <c r="A1366" s="1053"/>
      <c r="B1366" s="1053"/>
      <c r="C1366" s="1053"/>
      <c r="D1366" s="1053"/>
      <c r="E1366" s="1053"/>
      <c r="R1366" s="1054"/>
      <c r="S1366" s="1054"/>
      <c r="T1366" s="1054"/>
      <c r="U1366" s="1054"/>
      <c r="V1366" s="1054"/>
      <c r="W1366" s="1054"/>
      <c r="X1366" s="1054"/>
      <c r="Y1366" s="1054"/>
    </row>
    <row r="1367" spans="1:25">
      <c r="A1367" s="1053"/>
      <c r="B1367" s="1053"/>
      <c r="C1367" s="1053"/>
      <c r="D1367" s="1053"/>
      <c r="E1367" s="1053"/>
      <c r="R1367" s="1054"/>
      <c r="S1367" s="1054"/>
      <c r="T1367" s="1054"/>
      <c r="U1367" s="1054"/>
      <c r="V1367" s="1054"/>
      <c r="W1367" s="1054"/>
      <c r="X1367" s="1054"/>
      <c r="Y1367" s="1054"/>
    </row>
    <row r="1368" spans="1:25">
      <c r="A1368" s="1053"/>
      <c r="B1368" s="1053"/>
      <c r="C1368" s="1053"/>
      <c r="D1368" s="1053"/>
      <c r="E1368" s="1053"/>
      <c r="R1368" s="1054"/>
      <c r="S1368" s="1054"/>
      <c r="T1368" s="1054"/>
      <c r="U1368" s="1054"/>
      <c r="V1368" s="1054"/>
      <c r="W1368" s="1054"/>
      <c r="X1368" s="1054"/>
      <c r="Y1368" s="1054"/>
    </row>
    <row r="1369" spans="1:25">
      <c r="A1369" s="1053"/>
      <c r="B1369" s="1053"/>
      <c r="C1369" s="1053"/>
      <c r="D1369" s="1053"/>
      <c r="E1369" s="1053"/>
      <c r="R1369" s="1054"/>
      <c r="S1369" s="1054"/>
      <c r="T1369" s="1054"/>
      <c r="U1369" s="1054"/>
      <c r="V1369" s="1054"/>
      <c r="W1369" s="1054"/>
      <c r="X1369" s="1054"/>
      <c r="Y1369" s="1054"/>
    </row>
    <row r="1370" spans="1:25">
      <c r="A1370" s="1053"/>
      <c r="B1370" s="1053"/>
      <c r="C1370" s="1053"/>
      <c r="D1370" s="1053"/>
      <c r="E1370" s="1053"/>
      <c r="R1370" s="1054"/>
      <c r="S1370" s="1054"/>
      <c r="T1370" s="1054"/>
      <c r="U1370" s="1054"/>
      <c r="V1370" s="1054"/>
      <c r="W1370" s="1054"/>
      <c r="X1370" s="1054"/>
      <c r="Y1370" s="1054"/>
    </row>
    <row r="1371" spans="1:25">
      <c r="A1371" s="1053"/>
      <c r="B1371" s="1053"/>
      <c r="C1371" s="1053"/>
      <c r="D1371" s="1053"/>
      <c r="E1371" s="1053"/>
      <c r="R1371" s="1054"/>
      <c r="S1371" s="1054"/>
      <c r="T1371" s="1054"/>
      <c r="U1371" s="1054"/>
      <c r="V1371" s="1054"/>
      <c r="W1371" s="1054"/>
      <c r="X1371" s="1054"/>
      <c r="Y1371" s="1054"/>
    </row>
    <row r="1372" spans="1:25">
      <c r="A1372" s="1053"/>
      <c r="B1372" s="1053"/>
      <c r="C1372" s="1053"/>
      <c r="D1372" s="1053"/>
      <c r="E1372" s="1053"/>
      <c r="R1372" s="1054"/>
      <c r="S1372" s="1054"/>
      <c r="T1372" s="1054"/>
      <c r="U1372" s="1054"/>
      <c r="V1372" s="1054"/>
      <c r="W1372" s="1054"/>
      <c r="X1372" s="1054"/>
      <c r="Y1372" s="1054"/>
    </row>
    <row r="1373" spans="1:25">
      <c r="A1373" s="1053"/>
      <c r="B1373" s="1053"/>
      <c r="C1373" s="1053"/>
      <c r="D1373" s="1053"/>
      <c r="E1373" s="1053"/>
      <c r="R1373" s="1054"/>
      <c r="S1373" s="1054"/>
      <c r="T1373" s="1054"/>
      <c r="U1373" s="1054"/>
      <c r="V1373" s="1054"/>
      <c r="W1373" s="1054"/>
      <c r="X1373" s="1054"/>
      <c r="Y1373" s="1054"/>
    </row>
    <row r="1374" spans="1:25">
      <c r="A1374" s="1053"/>
      <c r="B1374" s="1053"/>
      <c r="C1374" s="1053"/>
      <c r="D1374" s="1053"/>
      <c r="E1374" s="1053"/>
      <c r="R1374" s="1054"/>
      <c r="S1374" s="1054"/>
      <c r="T1374" s="1054"/>
      <c r="U1374" s="1054"/>
      <c r="V1374" s="1054"/>
      <c r="W1374" s="1054"/>
      <c r="X1374" s="1054"/>
      <c r="Y1374" s="1054"/>
    </row>
    <row r="1375" spans="1:25">
      <c r="A1375" s="1053"/>
      <c r="B1375" s="1053"/>
      <c r="C1375" s="1053"/>
      <c r="D1375" s="1053"/>
      <c r="E1375" s="1053"/>
      <c r="R1375" s="1054"/>
      <c r="S1375" s="1054"/>
      <c r="T1375" s="1054"/>
      <c r="U1375" s="1054"/>
      <c r="V1375" s="1054"/>
      <c r="W1375" s="1054"/>
      <c r="X1375" s="1054"/>
      <c r="Y1375" s="1054"/>
    </row>
    <row r="1376" spans="1:25">
      <c r="A1376" s="1053"/>
      <c r="B1376" s="1053"/>
      <c r="C1376" s="1053"/>
      <c r="D1376" s="1053"/>
      <c r="E1376" s="1053"/>
      <c r="R1376" s="1054"/>
      <c r="S1376" s="1054"/>
      <c r="T1376" s="1054"/>
      <c r="U1376" s="1054"/>
      <c r="V1376" s="1054"/>
      <c r="W1376" s="1054"/>
      <c r="X1376" s="1054"/>
      <c r="Y1376" s="1054"/>
    </row>
    <row r="1377" spans="1:25">
      <c r="A1377" s="1053"/>
      <c r="B1377" s="1053"/>
      <c r="C1377" s="1053"/>
      <c r="D1377" s="1053"/>
      <c r="E1377" s="1053"/>
      <c r="R1377" s="1054"/>
      <c r="S1377" s="1054"/>
      <c r="T1377" s="1054"/>
      <c r="U1377" s="1054"/>
      <c r="V1377" s="1054"/>
      <c r="W1377" s="1054"/>
      <c r="X1377" s="1054"/>
      <c r="Y1377" s="1054"/>
    </row>
    <row r="1378" spans="1:25">
      <c r="A1378" s="1053"/>
      <c r="B1378" s="1053"/>
      <c r="C1378" s="1053"/>
      <c r="D1378" s="1053"/>
      <c r="E1378" s="1053"/>
      <c r="R1378" s="1054"/>
      <c r="S1378" s="1054"/>
      <c r="T1378" s="1054"/>
      <c r="U1378" s="1054"/>
      <c r="V1378" s="1054"/>
      <c r="W1378" s="1054"/>
      <c r="X1378" s="1054"/>
      <c r="Y1378" s="1054"/>
    </row>
    <row r="1379" spans="1:25">
      <c r="A1379" s="1053"/>
      <c r="B1379" s="1053"/>
      <c r="C1379" s="1053"/>
      <c r="D1379" s="1053"/>
      <c r="E1379" s="1053"/>
      <c r="R1379" s="1054"/>
      <c r="S1379" s="1054"/>
      <c r="T1379" s="1054"/>
      <c r="U1379" s="1054"/>
      <c r="V1379" s="1054"/>
      <c r="W1379" s="1054"/>
      <c r="X1379" s="1054"/>
      <c r="Y1379" s="1054"/>
    </row>
    <row r="1380" spans="1:25">
      <c r="A1380" s="1053"/>
      <c r="B1380" s="1053"/>
      <c r="C1380" s="1053"/>
      <c r="D1380" s="1053"/>
      <c r="E1380" s="1053"/>
      <c r="R1380" s="1054"/>
      <c r="S1380" s="1054"/>
      <c r="T1380" s="1054"/>
      <c r="U1380" s="1054"/>
      <c r="V1380" s="1054"/>
      <c r="W1380" s="1054"/>
      <c r="X1380" s="1054"/>
      <c r="Y1380" s="1054"/>
    </row>
    <row r="1381" spans="1:25">
      <c r="A1381" s="1053"/>
      <c r="B1381" s="1053"/>
      <c r="C1381" s="1053"/>
      <c r="D1381" s="1053"/>
      <c r="E1381" s="1053"/>
      <c r="R1381" s="1054"/>
      <c r="S1381" s="1054"/>
      <c r="T1381" s="1054"/>
      <c r="U1381" s="1054"/>
      <c r="V1381" s="1054"/>
      <c r="W1381" s="1054"/>
      <c r="X1381" s="1054"/>
      <c r="Y1381" s="1054"/>
    </row>
    <row r="1382" spans="1:25">
      <c r="A1382" s="1053"/>
      <c r="B1382" s="1053"/>
      <c r="C1382" s="1053"/>
      <c r="D1382" s="1053"/>
      <c r="E1382" s="1053"/>
      <c r="R1382" s="1054"/>
      <c r="S1382" s="1054"/>
      <c r="T1382" s="1054"/>
      <c r="U1382" s="1054"/>
      <c r="V1382" s="1054"/>
      <c r="W1382" s="1054"/>
      <c r="X1382" s="1054"/>
      <c r="Y1382" s="1054"/>
    </row>
    <row r="1383" spans="1:25">
      <c r="A1383" s="1053"/>
      <c r="B1383" s="1053"/>
      <c r="C1383" s="1053"/>
      <c r="D1383" s="1053"/>
      <c r="E1383" s="1053"/>
      <c r="R1383" s="1054"/>
      <c r="S1383" s="1054"/>
      <c r="T1383" s="1054"/>
      <c r="U1383" s="1054"/>
      <c r="V1383" s="1054"/>
      <c r="W1383" s="1054"/>
      <c r="X1383" s="1054"/>
      <c r="Y1383" s="1054"/>
    </row>
    <row r="1384" spans="1:25">
      <c r="A1384" s="1053"/>
      <c r="B1384" s="1053"/>
      <c r="C1384" s="1053"/>
      <c r="D1384" s="1053"/>
      <c r="E1384" s="1053"/>
      <c r="R1384" s="1054"/>
      <c r="S1384" s="1054"/>
      <c r="T1384" s="1054"/>
      <c r="U1384" s="1054"/>
      <c r="V1384" s="1054"/>
      <c r="W1384" s="1054"/>
      <c r="X1384" s="1054"/>
      <c r="Y1384" s="1054"/>
    </row>
    <row r="1385" spans="1:25">
      <c r="A1385" s="1053"/>
      <c r="B1385" s="1053"/>
      <c r="C1385" s="1053"/>
      <c r="D1385" s="1053"/>
      <c r="E1385" s="1053"/>
      <c r="R1385" s="1054"/>
      <c r="S1385" s="1054"/>
      <c r="T1385" s="1054"/>
      <c r="U1385" s="1054"/>
      <c r="V1385" s="1054"/>
      <c r="W1385" s="1054"/>
      <c r="X1385" s="1054"/>
      <c r="Y1385" s="1054"/>
    </row>
    <row r="1386" spans="1:25">
      <c r="A1386" s="1053"/>
      <c r="B1386" s="1053"/>
      <c r="C1386" s="1053"/>
      <c r="D1386" s="1053"/>
      <c r="E1386" s="1053"/>
      <c r="R1386" s="1054"/>
      <c r="S1386" s="1054"/>
      <c r="T1386" s="1054"/>
      <c r="U1386" s="1054"/>
      <c r="V1386" s="1054"/>
      <c r="W1386" s="1054"/>
      <c r="X1386" s="1054"/>
      <c r="Y1386" s="1054"/>
    </row>
    <row r="1387" spans="1:25">
      <c r="A1387" s="1053"/>
      <c r="B1387" s="1053"/>
      <c r="C1387" s="1053"/>
      <c r="D1387" s="1053"/>
      <c r="E1387" s="1053"/>
      <c r="R1387" s="1054"/>
      <c r="S1387" s="1054"/>
      <c r="T1387" s="1054"/>
      <c r="U1387" s="1054"/>
      <c r="V1387" s="1054"/>
      <c r="W1387" s="1054"/>
      <c r="X1387" s="1054"/>
      <c r="Y1387" s="1054"/>
    </row>
    <row r="1388" spans="1:25">
      <c r="A1388" s="1053"/>
      <c r="B1388" s="1053"/>
      <c r="C1388" s="1053"/>
      <c r="D1388" s="1053"/>
      <c r="E1388" s="1053"/>
      <c r="R1388" s="1054"/>
      <c r="S1388" s="1054"/>
      <c r="T1388" s="1054"/>
      <c r="U1388" s="1054"/>
      <c r="V1388" s="1054"/>
      <c r="W1388" s="1054"/>
      <c r="X1388" s="1054"/>
      <c r="Y1388" s="1054"/>
    </row>
    <row r="1389" spans="1:25">
      <c r="A1389" s="1053"/>
      <c r="B1389" s="1053"/>
      <c r="C1389" s="1053"/>
      <c r="D1389" s="1053"/>
      <c r="E1389" s="1053"/>
      <c r="R1389" s="1054"/>
      <c r="S1389" s="1054"/>
      <c r="T1389" s="1054"/>
      <c r="U1389" s="1054"/>
      <c r="V1389" s="1054"/>
      <c r="W1389" s="1054"/>
      <c r="X1389" s="1054"/>
      <c r="Y1389" s="1054"/>
    </row>
    <row r="1390" spans="1:25">
      <c r="A1390" s="1053"/>
      <c r="B1390" s="1053"/>
      <c r="C1390" s="1053"/>
      <c r="D1390" s="1053"/>
      <c r="E1390" s="1053"/>
      <c r="R1390" s="1054"/>
      <c r="S1390" s="1054"/>
      <c r="T1390" s="1054"/>
      <c r="U1390" s="1054"/>
      <c r="V1390" s="1054"/>
      <c r="W1390" s="1054"/>
      <c r="X1390" s="1054"/>
      <c r="Y1390" s="1054"/>
    </row>
    <row r="1391" spans="1:25">
      <c r="A1391" s="1053"/>
      <c r="B1391" s="1053"/>
      <c r="C1391" s="1053"/>
      <c r="D1391" s="1053"/>
      <c r="E1391" s="1053"/>
      <c r="R1391" s="1054"/>
      <c r="S1391" s="1054"/>
      <c r="T1391" s="1054"/>
      <c r="U1391" s="1054"/>
      <c r="V1391" s="1054"/>
      <c r="W1391" s="1054"/>
      <c r="X1391" s="1054"/>
      <c r="Y1391" s="1054"/>
    </row>
    <row r="1392" spans="1:25">
      <c r="A1392" s="1053"/>
      <c r="B1392" s="1053"/>
      <c r="C1392" s="1053"/>
      <c r="D1392" s="1053"/>
      <c r="E1392" s="1053"/>
      <c r="R1392" s="1054"/>
      <c r="S1392" s="1054"/>
      <c r="T1392" s="1054"/>
      <c r="U1392" s="1054"/>
      <c r="V1392" s="1054"/>
      <c r="W1392" s="1054"/>
      <c r="X1392" s="1054"/>
      <c r="Y1392" s="1054"/>
    </row>
    <row r="1393" spans="1:25">
      <c r="A1393" s="1053"/>
      <c r="B1393" s="1053"/>
      <c r="C1393" s="1053"/>
      <c r="D1393" s="1053"/>
      <c r="E1393" s="1053"/>
      <c r="R1393" s="1054"/>
      <c r="S1393" s="1054"/>
      <c r="T1393" s="1054"/>
      <c r="U1393" s="1054"/>
      <c r="V1393" s="1054"/>
      <c r="W1393" s="1054"/>
      <c r="X1393" s="1054"/>
      <c r="Y1393" s="1054"/>
    </row>
    <row r="1394" spans="1:25">
      <c r="A1394" s="1053"/>
      <c r="B1394" s="1053"/>
      <c r="C1394" s="1053"/>
      <c r="D1394" s="1053"/>
      <c r="E1394" s="1053"/>
      <c r="R1394" s="1054"/>
      <c r="S1394" s="1054"/>
      <c r="T1394" s="1054"/>
      <c r="U1394" s="1054"/>
      <c r="V1394" s="1054"/>
      <c r="W1394" s="1054"/>
      <c r="X1394" s="1054"/>
      <c r="Y1394" s="1054"/>
    </row>
    <row r="1395" spans="1:25">
      <c r="A1395" s="1053"/>
      <c r="B1395" s="1053"/>
      <c r="C1395" s="1053"/>
      <c r="D1395" s="1053"/>
      <c r="E1395" s="1053"/>
      <c r="R1395" s="1054"/>
      <c r="S1395" s="1054"/>
      <c r="T1395" s="1054"/>
      <c r="U1395" s="1054"/>
      <c r="V1395" s="1054"/>
      <c r="W1395" s="1054"/>
      <c r="X1395" s="1054"/>
      <c r="Y1395" s="1054"/>
    </row>
    <row r="1396" spans="1:25">
      <c r="A1396" s="1053"/>
      <c r="B1396" s="1053"/>
      <c r="C1396" s="1053"/>
      <c r="D1396" s="1053"/>
      <c r="E1396" s="1053"/>
      <c r="R1396" s="1054"/>
      <c r="S1396" s="1054"/>
      <c r="T1396" s="1054"/>
      <c r="U1396" s="1054"/>
      <c r="V1396" s="1054"/>
      <c r="W1396" s="1054"/>
      <c r="X1396" s="1054"/>
      <c r="Y1396" s="1054"/>
    </row>
    <row r="1397" spans="1:25">
      <c r="A1397" s="1053"/>
      <c r="B1397" s="1053"/>
      <c r="C1397" s="1053"/>
      <c r="D1397" s="1053"/>
      <c r="E1397" s="1053"/>
      <c r="R1397" s="1054"/>
      <c r="S1397" s="1054"/>
      <c r="T1397" s="1054"/>
      <c r="U1397" s="1054"/>
      <c r="V1397" s="1054"/>
      <c r="W1397" s="1054"/>
      <c r="X1397" s="1054"/>
      <c r="Y1397" s="1054"/>
    </row>
    <row r="1398" spans="1:25">
      <c r="A1398" s="1053"/>
      <c r="B1398" s="1053"/>
      <c r="C1398" s="1053"/>
      <c r="D1398" s="1053"/>
      <c r="E1398" s="1053"/>
      <c r="R1398" s="1054"/>
      <c r="S1398" s="1054"/>
      <c r="T1398" s="1054"/>
      <c r="U1398" s="1054"/>
      <c r="V1398" s="1054"/>
      <c r="W1398" s="1054"/>
      <c r="X1398" s="1054"/>
      <c r="Y1398" s="1054"/>
    </row>
    <row r="1399" spans="1:25">
      <c r="A1399" s="1053"/>
      <c r="B1399" s="1053"/>
      <c r="C1399" s="1053"/>
      <c r="D1399" s="1053"/>
      <c r="E1399" s="1053"/>
      <c r="R1399" s="1054"/>
      <c r="S1399" s="1054"/>
      <c r="T1399" s="1054"/>
      <c r="U1399" s="1054"/>
      <c r="V1399" s="1054"/>
      <c r="W1399" s="1054"/>
      <c r="X1399" s="1054"/>
      <c r="Y1399" s="1054"/>
    </row>
    <row r="1400" spans="1:25">
      <c r="A1400" s="1053"/>
      <c r="B1400" s="1053"/>
      <c r="C1400" s="1053"/>
      <c r="D1400" s="1053"/>
      <c r="E1400" s="1053"/>
      <c r="R1400" s="1054"/>
      <c r="S1400" s="1054"/>
      <c r="T1400" s="1054"/>
      <c r="U1400" s="1054"/>
      <c r="V1400" s="1054"/>
      <c r="W1400" s="1054"/>
      <c r="X1400" s="1054"/>
      <c r="Y1400" s="1054"/>
    </row>
    <row r="1401" spans="1:25">
      <c r="A1401" s="1053"/>
      <c r="B1401" s="1053"/>
      <c r="C1401" s="1053"/>
      <c r="D1401" s="1053"/>
      <c r="E1401" s="1053"/>
      <c r="R1401" s="1054"/>
      <c r="S1401" s="1054"/>
      <c r="T1401" s="1054"/>
      <c r="U1401" s="1054"/>
      <c r="V1401" s="1054"/>
      <c r="W1401" s="1054"/>
      <c r="X1401" s="1054"/>
      <c r="Y1401" s="1054"/>
    </row>
    <row r="1402" spans="1:25">
      <c r="A1402" s="1053"/>
      <c r="B1402" s="1053"/>
      <c r="C1402" s="1053"/>
      <c r="D1402" s="1053"/>
      <c r="E1402" s="1053"/>
      <c r="R1402" s="1054"/>
      <c r="S1402" s="1054"/>
      <c r="T1402" s="1054"/>
      <c r="U1402" s="1054"/>
      <c r="V1402" s="1054"/>
      <c r="W1402" s="1054"/>
      <c r="X1402" s="1054"/>
      <c r="Y1402" s="1054"/>
    </row>
    <row r="1403" spans="1:25">
      <c r="A1403" s="1053"/>
      <c r="B1403" s="1053"/>
      <c r="C1403" s="1053"/>
      <c r="D1403" s="1053"/>
      <c r="E1403" s="1053"/>
      <c r="R1403" s="1054"/>
      <c r="S1403" s="1054"/>
      <c r="T1403" s="1054"/>
      <c r="U1403" s="1054"/>
      <c r="V1403" s="1054"/>
      <c r="W1403" s="1054"/>
      <c r="X1403" s="1054"/>
      <c r="Y1403" s="1054"/>
    </row>
    <row r="1404" spans="1:25">
      <c r="A1404" s="1053"/>
      <c r="B1404" s="1053"/>
      <c r="C1404" s="1053"/>
      <c r="D1404" s="1053"/>
      <c r="E1404" s="1053"/>
      <c r="R1404" s="1054"/>
      <c r="S1404" s="1054"/>
      <c r="T1404" s="1054"/>
      <c r="U1404" s="1054"/>
      <c r="V1404" s="1054"/>
      <c r="W1404" s="1054"/>
      <c r="X1404" s="1054"/>
      <c r="Y1404" s="1054"/>
    </row>
    <row r="1405" spans="1:25">
      <c r="A1405" s="1053"/>
      <c r="B1405" s="1053"/>
      <c r="C1405" s="1053"/>
      <c r="D1405" s="1053"/>
      <c r="E1405" s="1053"/>
      <c r="R1405" s="1054"/>
      <c r="S1405" s="1054"/>
      <c r="T1405" s="1054"/>
      <c r="U1405" s="1054"/>
      <c r="V1405" s="1054"/>
      <c r="W1405" s="1054"/>
      <c r="X1405" s="1054"/>
      <c r="Y1405" s="1054"/>
    </row>
    <row r="1406" spans="1:25">
      <c r="A1406" s="1053"/>
      <c r="B1406" s="1053"/>
      <c r="C1406" s="1053"/>
      <c r="D1406" s="1053"/>
      <c r="E1406" s="1053"/>
      <c r="R1406" s="1054"/>
      <c r="S1406" s="1054"/>
      <c r="T1406" s="1054"/>
      <c r="U1406" s="1054"/>
      <c r="V1406" s="1054"/>
      <c r="W1406" s="1054"/>
      <c r="X1406" s="1054"/>
      <c r="Y1406" s="1054"/>
    </row>
    <row r="1407" spans="1:25">
      <c r="A1407" s="1053"/>
      <c r="B1407" s="1053"/>
      <c r="C1407" s="1053"/>
      <c r="D1407" s="1053"/>
      <c r="E1407" s="1053"/>
      <c r="R1407" s="1054"/>
      <c r="S1407" s="1054"/>
      <c r="T1407" s="1054"/>
      <c r="U1407" s="1054"/>
      <c r="V1407" s="1054"/>
      <c r="W1407" s="1054"/>
      <c r="X1407" s="1054"/>
      <c r="Y1407" s="1054"/>
    </row>
    <row r="1408" spans="1:25">
      <c r="A1408" s="1053"/>
      <c r="B1408" s="1053"/>
      <c r="C1408" s="1053"/>
      <c r="D1408" s="1053"/>
      <c r="E1408" s="1053"/>
      <c r="R1408" s="1054"/>
      <c r="S1408" s="1054"/>
      <c r="T1408" s="1054"/>
      <c r="U1408" s="1054"/>
      <c r="V1408" s="1054"/>
      <c r="W1408" s="1054"/>
      <c r="X1408" s="1054"/>
      <c r="Y1408" s="1054"/>
    </row>
    <row r="1409" spans="1:25">
      <c r="A1409" s="1053"/>
      <c r="B1409" s="1053"/>
      <c r="C1409" s="1053"/>
      <c r="D1409" s="1053"/>
      <c r="E1409" s="1053"/>
      <c r="R1409" s="1054"/>
      <c r="S1409" s="1054"/>
      <c r="T1409" s="1054"/>
      <c r="U1409" s="1054"/>
      <c r="V1409" s="1054"/>
      <c r="W1409" s="1054"/>
      <c r="X1409" s="1054"/>
      <c r="Y1409" s="1054"/>
    </row>
    <row r="1410" spans="1:25">
      <c r="A1410" s="1053"/>
      <c r="B1410" s="1053"/>
      <c r="C1410" s="1053"/>
      <c r="D1410" s="1053"/>
      <c r="E1410" s="1053"/>
      <c r="R1410" s="1054"/>
      <c r="S1410" s="1054"/>
      <c r="T1410" s="1054"/>
      <c r="U1410" s="1054"/>
      <c r="V1410" s="1054"/>
      <c r="W1410" s="1054"/>
      <c r="X1410" s="1054"/>
      <c r="Y1410" s="1054"/>
    </row>
    <row r="1411" spans="1:25">
      <c r="A1411" s="1053"/>
      <c r="B1411" s="1053"/>
      <c r="C1411" s="1053"/>
      <c r="D1411" s="1053"/>
      <c r="E1411" s="1053"/>
      <c r="R1411" s="1054"/>
      <c r="S1411" s="1054"/>
      <c r="T1411" s="1054"/>
      <c r="U1411" s="1054"/>
      <c r="V1411" s="1054"/>
      <c r="W1411" s="1054"/>
      <c r="X1411" s="1054"/>
      <c r="Y1411" s="1054"/>
    </row>
    <row r="1412" spans="1:25">
      <c r="A1412" s="1053"/>
      <c r="B1412" s="1053"/>
      <c r="C1412" s="1053"/>
      <c r="D1412" s="1053"/>
      <c r="E1412" s="1053"/>
      <c r="R1412" s="1054"/>
      <c r="S1412" s="1054"/>
      <c r="T1412" s="1054"/>
      <c r="U1412" s="1054"/>
      <c r="V1412" s="1054"/>
      <c r="W1412" s="1054"/>
      <c r="X1412" s="1054"/>
      <c r="Y1412" s="1054"/>
    </row>
    <row r="1413" spans="1:25">
      <c r="A1413" s="1053"/>
      <c r="B1413" s="1053"/>
      <c r="C1413" s="1053"/>
      <c r="D1413" s="1053"/>
      <c r="E1413" s="1053"/>
      <c r="R1413" s="1054"/>
      <c r="S1413" s="1054"/>
      <c r="T1413" s="1054"/>
      <c r="U1413" s="1054"/>
      <c r="V1413" s="1054"/>
      <c r="W1413" s="1054"/>
      <c r="X1413" s="1054"/>
      <c r="Y1413" s="1054"/>
    </row>
    <row r="1414" spans="1:25">
      <c r="A1414" s="1053"/>
      <c r="B1414" s="1053"/>
      <c r="C1414" s="1053"/>
      <c r="D1414" s="1053"/>
      <c r="E1414" s="1053"/>
      <c r="R1414" s="1054"/>
      <c r="S1414" s="1054"/>
      <c r="T1414" s="1054"/>
      <c r="U1414" s="1054"/>
      <c r="V1414" s="1054"/>
      <c r="W1414" s="1054"/>
      <c r="X1414" s="1054"/>
      <c r="Y1414" s="1054"/>
    </row>
    <row r="1415" spans="1:25">
      <c r="A1415" s="1053"/>
      <c r="B1415" s="1053"/>
      <c r="C1415" s="1053"/>
      <c r="D1415" s="1053"/>
      <c r="E1415" s="1053"/>
      <c r="R1415" s="1054"/>
      <c r="S1415" s="1054"/>
      <c r="T1415" s="1054"/>
      <c r="U1415" s="1054"/>
      <c r="V1415" s="1054"/>
      <c r="W1415" s="1054"/>
      <c r="X1415" s="1054"/>
      <c r="Y1415" s="1054"/>
    </row>
    <row r="1416" spans="1:25">
      <c r="A1416" s="1053"/>
      <c r="B1416" s="1053"/>
      <c r="C1416" s="1053"/>
      <c r="D1416" s="1053"/>
      <c r="E1416" s="1053"/>
      <c r="R1416" s="1054"/>
      <c r="S1416" s="1054"/>
      <c r="T1416" s="1054"/>
      <c r="U1416" s="1054"/>
      <c r="V1416" s="1054"/>
      <c r="W1416" s="1054"/>
      <c r="X1416" s="1054"/>
      <c r="Y1416" s="1054"/>
    </row>
    <row r="1417" spans="1:25">
      <c r="A1417" s="1053"/>
      <c r="B1417" s="1053"/>
      <c r="C1417" s="1053"/>
      <c r="D1417" s="1053"/>
      <c r="E1417" s="1053"/>
      <c r="R1417" s="1054"/>
      <c r="S1417" s="1054"/>
      <c r="T1417" s="1054"/>
      <c r="U1417" s="1054"/>
      <c r="V1417" s="1054"/>
      <c r="W1417" s="1054"/>
      <c r="X1417" s="1054"/>
      <c r="Y1417" s="1054"/>
    </row>
    <row r="1418" spans="1:25">
      <c r="A1418" s="1053"/>
      <c r="B1418" s="1053"/>
      <c r="C1418" s="1053"/>
      <c r="D1418" s="1053"/>
      <c r="E1418" s="1053"/>
      <c r="R1418" s="1054"/>
      <c r="S1418" s="1054"/>
      <c r="T1418" s="1054"/>
      <c r="U1418" s="1054"/>
      <c r="V1418" s="1054"/>
      <c r="W1418" s="1054"/>
      <c r="X1418" s="1054"/>
      <c r="Y1418" s="1054"/>
    </row>
    <row r="1419" spans="1:25">
      <c r="A1419" s="1053"/>
      <c r="B1419" s="1053"/>
      <c r="C1419" s="1053"/>
      <c r="D1419" s="1053"/>
      <c r="E1419" s="1053"/>
      <c r="R1419" s="1054"/>
      <c r="S1419" s="1054"/>
      <c r="T1419" s="1054"/>
      <c r="U1419" s="1054"/>
      <c r="V1419" s="1054"/>
      <c r="W1419" s="1054"/>
      <c r="X1419" s="1054"/>
      <c r="Y1419" s="1054"/>
    </row>
    <row r="1420" spans="1:25">
      <c r="A1420" s="1053"/>
      <c r="B1420" s="1053"/>
      <c r="C1420" s="1053"/>
      <c r="D1420" s="1053"/>
      <c r="E1420" s="1053"/>
      <c r="R1420" s="1054"/>
      <c r="S1420" s="1054"/>
      <c r="T1420" s="1054"/>
      <c r="U1420" s="1054"/>
      <c r="V1420" s="1054"/>
      <c r="W1420" s="1054"/>
      <c r="X1420" s="1054"/>
      <c r="Y1420" s="1054"/>
    </row>
    <row r="1421" spans="1:25">
      <c r="A1421" s="1053"/>
      <c r="B1421" s="1053"/>
      <c r="C1421" s="1053"/>
      <c r="D1421" s="1053"/>
      <c r="E1421" s="1053"/>
      <c r="R1421" s="1054"/>
      <c r="S1421" s="1054"/>
      <c r="T1421" s="1054"/>
      <c r="U1421" s="1054"/>
      <c r="V1421" s="1054"/>
      <c r="W1421" s="1054"/>
      <c r="X1421" s="1054"/>
      <c r="Y1421" s="1054"/>
    </row>
    <row r="1422" spans="1:25">
      <c r="A1422" s="1053"/>
      <c r="B1422" s="1053"/>
      <c r="C1422" s="1053"/>
      <c r="D1422" s="1053"/>
      <c r="E1422" s="1053"/>
      <c r="R1422" s="1054"/>
      <c r="S1422" s="1054"/>
      <c r="T1422" s="1054"/>
      <c r="U1422" s="1054"/>
      <c r="V1422" s="1054"/>
      <c r="W1422" s="1054"/>
      <c r="X1422" s="1054"/>
      <c r="Y1422" s="1054"/>
    </row>
    <row r="1423" spans="1:25">
      <c r="A1423" s="1053"/>
      <c r="B1423" s="1053"/>
      <c r="C1423" s="1053"/>
      <c r="D1423" s="1053"/>
      <c r="E1423" s="1053"/>
      <c r="R1423" s="1054"/>
      <c r="S1423" s="1054"/>
      <c r="T1423" s="1054"/>
      <c r="U1423" s="1054"/>
      <c r="V1423" s="1054"/>
      <c r="W1423" s="1054"/>
      <c r="X1423" s="1054"/>
      <c r="Y1423" s="1054"/>
    </row>
    <row r="1424" spans="1:25">
      <c r="A1424" s="1053"/>
      <c r="B1424" s="1053"/>
      <c r="C1424" s="1053"/>
      <c r="D1424" s="1053"/>
      <c r="E1424" s="1053"/>
      <c r="R1424" s="1054"/>
      <c r="S1424" s="1054"/>
      <c r="T1424" s="1054"/>
      <c r="U1424" s="1054"/>
      <c r="V1424" s="1054"/>
      <c r="W1424" s="1054"/>
      <c r="X1424" s="1054"/>
      <c r="Y1424" s="1054"/>
    </row>
    <row r="1425" spans="1:25">
      <c r="A1425" s="1053"/>
      <c r="B1425" s="1053"/>
      <c r="C1425" s="1053"/>
      <c r="D1425" s="1053"/>
      <c r="E1425" s="1053"/>
      <c r="R1425" s="1054"/>
      <c r="S1425" s="1054"/>
      <c r="T1425" s="1054"/>
      <c r="U1425" s="1054"/>
      <c r="V1425" s="1054"/>
      <c r="W1425" s="1054"/>
      <c r="X1425" s="1054"/>
      <c r="Y1425" s="1054"/>
    </row>
    <row r="1426" spans="1:25">
      <c r="A1426" s="1053"/>
      <c r="B1426" s="1053"/>
      <c r="C1426" s="1053"/>
      <c r="D1426" s="1053"/>
      <c r="E1426" s="1053"/>
      <c r="R1426" s="1054"/>
      <c r="S1426" s="1054"/>
      <c r="T1426" s="1054"/>
      <c r="U1426" s="1054"/>
      <c r="V1426" s="1054"/>
      <c r="W1426" s="1054"/>
      <c r="X1426" s="1054"/>
      <c r="Y1426" s="1054"/>
    </row>
    <row r="1427" spans="1:25">
      <c r="A1427" s="1053"/>
      <c r="B1427" s="1053"/>
      <c r="C1427" s="1053"/>
      <c r="D1427" s="1053"/>
      <c r="E1427" s="1053"/>
      <c r="R1427" s="1054"/>
      <c r="S1427" s="1054"/>
      <c r="T1427" s="1054"/>
      <c r="U1427" s="1054"/>
      <c r="V1427" s="1054"/>
      <c r="W1427" s="1054"/>
      <c r="X1427" s="1054"/>
      <c r="Y1427" s="1054"/>
    </row>
    <row r="1428" spans="1:25">
      <c r="A1428" s="1053"/>
      <c r="B1428" s="1053"/>
      <c r="C1428" s="1053"/>
      <c r="D1428" s="1053"/>
      <c r="E1428" s="1053"/>
      <c r="R1428" s="1054"/>
      <c r="S1428" s="1054"/>
      <c r="T1428" s="1054"/>
      <c r="U1428" s="1054"/>
      <c r="V1428" s="1054"/>
      <c r="W1428" s="1054"/>
      <c r="X1428" s="1054"/>
      <c r="Y1428" s="1054"/>
    </row>
    <row r="1429" spans="1:25">
      <c r="A1429" s="1053"/>
      <c r="B1429" s="1053"/>
      <c r="C1429" s="1053"/>
      <c r="D1429" s="1053"/>
      <c r="E1429" s="1053"/>
      <c r="R1429" s="1054"/>
      <c r="S1429" s="1054"/>
      <c r="T1429" s="1054"/>
      <c r="U1429" s="1054"/>
      <c r="V1429" s="1054"/>
      <c r="W1429" s="1054"/>
      <c r="X1429" s="1054"/>
      <c r="Y1429" s="1054"/>
    </row>
    <row r="1430" spans="1:25">
      <c r="A1430" s="1053"/>
      <c r="B1430" s="1053"/>
      <c r="C1430" s="1053"/>
      <c r="D1430" s="1053"/>
      <c r="E1430" s="1053"/>
      <c r="R1430" s="1054"/>
      <c r="S1430" s="1054"/>
      <c r="T1430" s="1054"/>
      <c r="U1430" s="1054"/>
      <c r="V1430" s="1054"/>
      <c r="W1430" s="1054"/>
      <c r="X1430" s="1054"/>
      <c r="Y1430" s="1054"/>
    </row>
    <row r="1431" spans="1:25">
      <c r="A1431" s="1053"/>
      <c r="B1431" s="1053"/>
      <c r="C1431" s="1053"/>
      <c r="D1431" s="1053"/>
      <c r="E1431" s="1053"/>
      <c r="R1431" s="1054"/>
      <c r="S1431" s="1054"/>
      <c r="T1431" s="1054"/>
      <c r="U1431" s="1054"/>
      <c r="V1431" s="1054"/>
      <c r="W1431" s="1054"/>
      <c r="X1431" s="1054"/>
      <c r="Y1431" s="1054"/>
    </row>
    <row r="1432" spans="1:25">
      <c r="A1432" s="1053"/>
      <c r="B1432" s="1053"/>
      <c r="C1432" s="1053"/>
      <c r="D1432" s="1053"/>
      <c r="E1432" s="1053"/>
      <c r="R1432" s="1054"/>
      <c r="S1432" s="1054"/>
      <c r="T1432" s="1054"/>
      <c r="U1432" s="1054"/>
      <c r="V1432" s="1054"/>
      <c r="W1432" s="1054"/>
      <c r="X1432" s="1054"/>
      <c r="Y1432" s="1054"/>
    </row>
    <row r="1433" spans="1:25">
      <c r="A1433" s="1053"/>
      <c r="B1433" s="1053"/>
      <c r="C1433" s="1053"/>
      <c r="D1433" s="1053"/>
      <c r="E1433" s="1053"/>
      <c r="R1433" s="1054"/>
      <c r="S1433" s="1054"/>
      <c r="T1433" s="1054"/>
      <c r="U1433" s="1054"/>
      <c r="V1433" s="1054"/>
      <c r="W1433" s="1054"/>
      <c r="X1433" s="1054"/>
      <c r="Y1433" s="1054"/>
    </row>
    <row r="1434" spans="1:25">
      <c r="A1434" s="1053"/>
      <c r="B1434" s="1053"/>
      <c r="C1434" s="1053"/>
      <c r="D1434" s="1053"/>
      <c r="E1434" s="1053"/>
      <c r="R1434" s="1054"/>
      <c r="S1434" s="1054"/>
      <c r="T1434" s="1054"/>
      <c r="U1434" s="1054"/>
      <c r="V1434" s="1054"/>
      <c r="W1434" s="1054"/>
      <c r="X1434" s="1054"/>
      <c r="Y1434" s="1054"/>
    </row>
    <row r="1435" spans="1:25">
      <c r="A1435" s="1053"/>
      <c r="B1435" s="1053"/>
      <c r="C1435" s="1053"/>
      <c r="D1435" s="1053"/>
      <c r="E1435" s="1053"/>
      <c r="R1435" s="1054"/>
      <c r="S1435" s="1054"/>
      <c r="T1435" s="1054"/>
      <c r="U1435" s="1054"/>
      <c r="V1435" s="1054"/>
      <c r="W1435" s="1054"/>
      <c r="X1435" s="1054"/>
      <c r="Y1435" s="1054"/>
    </row>
    <row r="1436" spans="1:25">
      <c r="A1436" s="1053"/>
      <c r="B1436" s="1053"/>
      <c r="C1436" s="1053"/>
      <c r="D1436" s="1053"/>
      <c r="E1436" s="1053"/>
      <c r="R1436" s="1054"/>
      <c r="S1436" s="1054"/>
      <c r="T1436" s="1054"/>
      <c r="U1436" s="1054"/>
      <c r="V1436" s="1054"/>
      <c r="W1436" s="1054"/>
      <c r="X1436" s="1054"/>
      <c r="Y1436" s="1054"/>
    </row>
    <row r="1437" spans="1:25">
      <c r="A1437" s="1053"/>
      <c r="B1437" s="1053"/>
      <c r="C1437" s="1053"/>
      <c r="D1437" s="1053"/>
      <c r="E1437" s="1053"/>
      <c r="R1437" s="1054"/>
      <c r="S1437" s="1054"/>
      <c r="T1437" s="1054"/>
      <c r="U1437" s="1054"/>
      <c r="V1437" s="1054"/>
      <c r="W1437" s="1054"/>
      <c r="X1437" s="1054"/>
      <c r="Y1437" s="1054"/>
    </row>
    <row r="1438" spans="1:25">
      <c r="A1438" s="1053"/>
      <c r="B1438" s="1053"/>
      <c r="C1438" s="1053"/>
      <c r="D1438" s="1053"/>
      <c r="E1438" s="1053"/>
      <c r="R1438" s="1054"/>
      <c r="S1438" s="1054"/>
      <c r="T1438" s="1054"/>
      <c r="U1438" s="1054"/>
      <c r="V1438" s="1054"/>
      <c r="W1438" s="1054"/>
      <c r="X1438" s="1054"/>
      <c r="Y1438" s="1054"/>
    </row>
    <row r="1439" spans="1:25">
      <c r="A1439" s="1053"/>
      <c r="B1439" s="1053"/>
      <c r="C1439" s="1053"/>
      <c r="D1439" s="1053"/>
      <c r="E1439" s="1053"/>
      <c r="R1439" s="1054"/>
      <c r="S1439" s="1054"/>
      <c r="T1439" s="1054"/>
      <c r="U1439" s="1054"/>
      <c r="V1439" s="1054"/>
      <c r="W1439" s="1054"/>
      <c r="X1439" s="1054"/>
      <c r="Y1439" s="1054"/>
    </row>
    <row r="1440" spans="1:25">
      <c r="A1440" s="1053"/>
      <c r="B1440" s="1053"/>
      <c r="C1440" s="1053"/>
      <c r="D1440" s="1053"/>
      <c r="E1440" s="1053"/>
      <c r="R1440" s="1054"/>
      <c r="S1440" s="1054"/>
      <c r="T1440" s="1054"/>
      <c r="U1440" s="1054"/>
      <c r="V1440" s="1054"/>
      <c r="W1440" s="1054"/>
      <c r="X1440" s="1054"/>
      <c r="Y1440" s="1054"/>
    </row>
    <row r="1441" spans="1:25">
      <c r="A1441" s="1053"/>
      <c r="B1441" s="1053"/>
      <c r="C1441" s="1053"/>
      <c r="D1441" s="1053"/>
      <c r="E1441" s="1053"/>
      <c r="R1441" s="1054"/>
      <c r="S1441" s="1054"/>
      <c r="T1441" s="1054"/>
      <c r="U1441" s="1054"/>
      <c r="V1441" s="1054"/>
      <c r="W1441" s="1054"/>
      <c r="X1441" s="1054"/>
      <c r="Y1441" s="1054"/>
    </row>
    <row r="1442" spans="1:25">
      <c r="A1442" s="1053"/>
      <c r="B1442" s="1053"/>
      <c r="C1442" s="1053"/>
      <c r="D1442" s="1053"/>
      <c r="E1442" s="1053"/>
      <c r="R1442" s="1054"/>
      <c r="S1442" s="1054"/>
      <c r="T1442" s="1054"/>
      <c r="U1442" s="1054"/>
      <c r="V1442" s="1054"/>
      <c r="W1442" s="1054"/>
      <c r="X1442" s="1054"/>
      <c r="Y1442" s="1054"/>
    </row>
    <row r="1443" spans="1:25">
      <c r="A1443" s="1053"/>
      <c r="B1443" s="1053"/>
      <c r="C1443" s="1053"/>
      <c r="D1443" s="1053"/>
      <c r="E1443" s="1053"/>
      <c r="R1443" s="1054"/>
      <c r="S1443" s="1054"/>
      <c r="T1443" s="1054"/>
      <c r="U1443" s="1054"/>
      <c r="V1443" s="1054"/>
      <c r="W1443" s="1054"/>
      <c r="X1443" s="1054"/>
      <c r="Y1443" s="1054"/>
    </row>
    <row r="1444" spans="1:25">
      <c r="A1444" s="1053"/>
      <c r="B1444" s="1053"/>
      <c r="C1444" s="1053"/>
      <c r="D1444" s="1053"/>
      <c r="E1444" s="1053"/>
      <c r="R1444" s="1054"/>
      <c r="S1444" s="1054"/>
      <c r="T1444" s="1054"/>
      <c r="U1444" s="1054"/>
      <c r="V1444" s="1054"/>
      <c r="W1444" s="1054"/>
      <c r="X1444" s="1054"/>
      <c r="Y1444" s="1054"/>
    </row>
    <row r="1445" spans="1:25">
      <c r="A1445" s="1053"/>
      <c r="B1445" s="1053"/>
      <c r="C1445" s="1053"/>
      <c r="D1445" s="1053"/>
      <c r="E1445" s="1053"/>
      <c r="R1445" s="1054"/>
      <c r="S1445" s="1054"/>
      <c r="T1445" s="1054"/>
      <c r="U1445" s="1054"/>
      <c r="V1445" s="1054"/>
      <c r="W1445" s="1054"/>
      <c r="X1445" s="1054"/>
      <c r="Y1445" s="1054"/>
    </row>
    <row r="1446" spans="1:25">
      <c r="A1446" s="1053"/>
      <c r="B1446" s="1053"/>
      <c r="C1446" s="1053"/>
      <c r="D1446" s="1053"/>
      <c r="E1446" s="1053"/>
      <c r="R1446" s="1054"/>
      <c r="S1446" s="1054"/>
      <c r="T1446" s="1054"/>
      <c r="U1446" s="1054"/>
      <c r="V1446" s="1054"/>
      <c r="W1446" s="1054"/>
      <c r="X1446" s="1054"/>
      <c r="Y1446" s="1054"/>
    </row>
    <row r="1447" spans="1:25">
      <c r="A1447" s="1053"/>
      <c r="B1447" s="1053"/>
      <c r="C1447" s="1053"/>
      <c r="D1447" s="1053"/>
      <c r="E1447" s="1053"/>
      <c r="R1447" s="1054"/>
      <c r="S1447" s="1054"/>
      <c r="T1447" s="1054"/>
      <c r="U1447" s="1054"/>
      <c r="V1447" s="1054"/>
      <c r="W1447" s="1054"/>
      <c r="X1447" s="1054"/>
      <c r="Y1447" s="1054"/>
    </row>
    <row r="1448" spans="1:25">
      <c r="A1448" s="1053"/>
      <c r="B1448" s="1053"/>
      <c r="C1448" s="1053"/>
      <c r="D1448" s="1053"/>
      <c r="E1448" s="1053"/>
      <c r="R1448" s="1054"/>
      <c r="S1448" s="1054"/>
      <c r="T1448" s="1054"/>
      <c r="U1448" s="1054"/>
      <c r="V1448" s="1054"/>
      <c r="W1448" s="1054"/>
      <c r="X1448" s="1054"/>
      <c r="Y1448" s="1054"/>
    </row>
    <row r="1449" spans="1:25">
      <c r="A1449" s="1053"/>
      <c r="B1449" s="1053"/>
      <c r="C1449" s="1053"/>
      <c r="D1449" s="1053"/>
      <c r="E1449" s="1053"/>
      <c r="R1449" s="1054"/>
      <c r="S1449" s="1054"/>
      <c r="T1449" s="1054"/>
      <c r="U1449" s="1054"/>
      <c r="V1449" s="1054"/>
      <c r="W1449" s="1054"/>
      <c r="X1449" s="1054"/>
      <c r="Y1449" s="1054"/>
    </row>
    <row r="1450" spans="1:25">
      <c r="A1450" s="1053"/>
      <c r="B1450" s="1053"/>
      <c r="C1450" s="1053"/>
      <c r="D1450" s="1053"/>
      <c r="E1450" s="1053"/>
      <c r="R1450" s="1054"/>
      <c r="S1450" s="1054"/>
      <c r="T1450" s="1054"/>
      <c r="U1450" s="1054"/>
      <c r="V1450" s="1054"/>
      <c r="W1450" s="1054"/>
      <c r="X1450" s="1054"/>
      <c r="Y1450" s="1054"/>
    </row>
    <row r="1451" spans="1:25">
      <c r="A1451" s="1053"/>
      <c r="B1451" s="1053"/>
      <c r="C1451" s="1053"/>
      <c r="D1451" s="1053"/>
      <c r="E1451" s="1053"/>
      <c r="R1451" s="1054"/>
      <c r="S1451" s="1054"/>
      <c r="T1451" s="1054"/>
      <c r="U1451" s="1054"/>
      <c r="V1451" s="1054"/>
      <c r="W1451" s="1054"/>
      <c r="X1451" s="1054"/>
      <c r="Y1451" s="1054"/>
    </row>
    <row r="1452" spans="1:25">
      <c r="A1452" s="1053"/>
      <c r="B1452" s="1053"/>
      <c r="C1452" s="1053"/>
      <c r="D1452" s="1053"/>
      <c r="E1452" s="1053"/>
      <c r="R1452" s="1054"/>
      <c r="S1452" s="1054"/>
      <c r="T1452" s="1054"/>
      <c r="U1452" s="1054"/>
      <c r="V1452" s="1054"/>
      <c r="W1452" s="1054"/>
      <c r="X1452" s="1054"/>
      <c r="Y1452" s="1054"/>
    </row>
    <row r="1453" spans="1:25">
      <c r="A1453" s="1053"/>
      <c r="B1453" s="1053"/>
      <c r="C1453" s="1053"/>
      <c r="D1453" s="1053"/>
      <c r="E1453" s="1053"/>
      <c r="R1453" s="1054"/>
      <c r="S1453" s="1054"/>
      <c r="T1453" s="1054"/>
      <c r="U1453" s="1054"/>
      <c r="V1453" s="1054"/>
      <c r="W1453" s="1054"/>
      <c r="X1453" s="1054"/>
      <c r="Y1453" s="1054"/>
    </row>
    <row r="1454" spans="1:25">
      <c r="A1454" s="1053"/>
      <c r="B1454" s="1053"/>
      <c r="C1454" s="1053"/>
      <c r="D1454" s="1053"/>
      <c r="E1454" s="1053"/>
      <c r="R1454" s="1054"/>
      <c r="S1454" s="1054"/>
      <c r="T1454" s="1054"/>
      <c r="U1454" s="1054"/>
      <c r="V1454" s="1054"/>
      <c r="W1454" s="1054"/>
      <c r="X1454" s="1054"/>
      <c r="Y1454" s="1054"/>
    </row>
    <row r="1455" spans="1:25">
      <c r="A1455" s="1053"/>
      <c r="B1455" s="1053"/>
      <c r="C1455" s="1053"/>
      <c r="D1455" s="1053"/>
      <c r="E1455" s="1053"/>
      <c r="R1455" s="1054"/>
      <c r="S1455" s="1054"/>
      <c r="T1455" s="1054"/>
      <c r="U1455" s="1054"/>
      <c r="V1455" s="1054"/>
      <c r="W1455" s="1054"/>
      <c r="X1455" s="1054"/>
      <c r="Y1455" s="1054"/>
    </row>
    <row r="1456" spans="1:25">
      <c r="A1456" s="1053"/>
      <c r="B1456" s="1053"/>
      <c r="C1456" s="1053"/>
      <c r="D1456" s="1053"/>
      <c r="E1456" s="1053"/>
      <c r="R1456" s="1054"/>
      <c r="S1456" s="1054"/>
      <c r="T1456" s="1054"/>
      <c r="U1456" s="1054"/>
      <c r="V1456" s="1054"/>
      <c r="W1456" s="1054"/>
      <c r="X1456" s="1054"/>
      <c r="Y1456" s="1054"/>
    </row>
    <row r="1457" spans="1:25">
      <c r="A1457" s="1053"/>
      <c r="B1457" s="1053"/>
      <c r="C1457" s="1053"/>
      <c r="D1457" s="1053"/>
      <c r="E1457" s="1053"/>
      <c r="R1457" s="1054"/>
      <c r="S1457" s="1054"/>
      <c r="T1457" s="1054"/>
      <c r="U1457" s="1054"/>
      <c r="V1457" s="1054"/>
      <c r="W1457" s="1054"/>
      <c r="X1457" s="1054"/>
      <c r="Y1457" s="1054"/>
    </row>
    <row r="1458" spans="1:25">
      <c r="A1458" s="1053"/>
      <c r="B1458" s="1053"/>
      <c r="C1458" s="1053"/>
      <c r="D1458" s="1053"/>
      <c r="E1458" s="1053"/>
      <c r="R1458" s="1054"/>
      <c r="S1458" s="1054"/>
      <c r="T1458" s="1054"/>
      <c r="U1458" s="1054"/>
      <c r="V1458" s="1054"/>
      <c r="W1458" s="1054"/>
      <c r="X1458" s="1054"/>
      <c r="Y1458" s="1054"/>
    </row>
    <row r="1459" spans="1:25">
      <c r="A1459" s="1053"/>
      <c r="B1459" s="1053"/>
      <c r="C1459" s="1053"/>
      <c r="D1459" s="1053"/>
      <c r="E1459" s="1053"/>
      <c r="R1459" s="1054"/>
      <c r="S1459" s="1054"/>
      <c r="T1459" s="1054"/>
      <c r="U1459" s="1054"/>
      <c r="V1459" s="1054"/>
      <c r="W1459" s="1054"/>
      <c r="X1459" s="1054"/>
      <c r="Y1459" s="1054"/>
    </row>
    <row r="1460" spans="1:25">
      <c r="A1460" s="1053"/>
      <c r="B1460" s="1053"/>
      <c r="C1460" s="1053"/>
      <c r="D1460" s="1053"/>
      <c r="E1460" s="1053"/>
      <c r="R1460" s="1054"/>
      <c r="S1460" s="1054"/>
      <c r="T1460" s="1054"/>
      <c r="U1460" s="1054"/>
      <c r="V1460" s="1054"/>
      <c r="W1460" s="1054"/>
      <c r="X1460" s="1054"/>
      <c r="Y1460" s="1054"/>
    </row>
    <row r="1461" spans="1:25">
      <c r="A1461" s="1053"/>
      <c r="B1461" s="1053"/>
      <c r="C1461" s="1053"/>
      <c r="D1461" s="1053"/>
      <c r="E1461" s="1053"/>
      <c r="R1461" s="1054"/>
      <c r="S1461" s="1054"/>
      <c r="T1461" s="1054"/>
      <c r="U1461" s="1054"/>
      <c r="V1461" s="1054"/>
      <c r="W1461" s="1054"/>
      <c r="X1461" s="1054"/>
      <c r="Y1461" s="1054"/>
    </row>
    <row r="1462" spans="1:25">
      <c r="A1462" s="1053"/>
      <c r="B1462" s="1053"/>
      <c r="C1462" s="1053"/>
      <c r="D1462" s="1053"/>
      <c r="E1462" s="1053"/>
      <c r="R1462" s="1054"/>
      <c r="S1462" s="1054"/>
      <c r="T1462" s="1054"/>
      <c r="U1462" s="1054"/>
      <c r="V1462" s="1054"/>
      <c r="W1462" s="1054"/>
      <c r="X1462" s="1054"/>
      <c r="Y1462" s="1054"/>
    </row>
    <row r="1463" spans="1:25">
      <c r="A1463" s="1053"/>
      <c r="B1463" s="1053"/>
      <c r="C1463" s="1053"/>
      <c r="D1463" s="1053"/>
      <c r="E1463" s="1053"/>
      <c r="R1463" s="1054"/>
      <c r="S1463" s="1054"/>
      <c r="T1463" s="1054"/>
      <c r="U1463" s="1054"/>
      <c r="V1463" s="1054"/>
      <c r="W1463" s="1054"/>
      <c r="X1463" s="1054"/>
      <c r="Y1463" s="1054"/>
    </row>
    <row r="1464" spans="1:25">
      <c r="A1464" s="1053"/>
      <c r="B1464" s="1053"/>
      <c r="C1464" s="1053"/>
      <c r="D1464" s="1053"/>
      <c r="E1464" s="1053"/>
      <c r="R1464" s="1054"/>
      <c r="S1464" s="1054"/>
      <c r="T1464" s="1054"/>
      <c r="U1464" s="1054"/>
      <c r="V1464" s="1054"/>
      <c r="W1464" s="1054"/>
      <c r="X1464" s="1054"/>
      <c r="Y1464" s="1054"/>
    </row>
    <row r="1465" spans="1:25">
      <c r="A1465" s="1053"/>
      <c r="B1465" s="1053"/>
      <c r="C1465" s="1053"/>
      <c r="D1465" s="1053"/>
      <c r="E1465" s="1053"/>
      <c r="R1465" s="1054"/>
      <c r="S1465" s="1054"/>
      <c r="T1465" s="1054"/>
      <c r="U1465" s="1054"/>
      <c r="V1465" s="1054"/>
      <c r="W1465" s="1054"/>
      <c r="X1465" s="1054"/>
      <c r="Y1465" s="1054"/>
    </row>
    <row r="1466" spans="1:25">
      <c r="A1466" s="1053"/>
      <c r="B1466" s="1053"/>
      <c r="C1466" s="1053"/>
      <c r="D1466" s="1053"/>
      <c r="E1466" s="1053"/>
      <c r="R1466" s="1054"/>
      <c r="S1466" s="1054"/>
      <c r="T1466" s="1054"/>
      <c r="U1466" s="1054"/>
      <c r="V1466" s="1054"/>
      <c r="W1466" s="1054"/>
      <c r="X1466" s="1054"/>
      <c r="Y1466" s="1054"/>
    </row>
    <row r="1467" spans="1:25">
      <c r="A1467" s="1053"/>
      <c r="B1467" s="1053"/>
      <c r="C1467" s="1053"/>
      <c r="D1467" s="1053"/>
      <c r="E1467" s="1053"/>
      <c r="R1467" s="1054"/>
      <c r="S1467" s="1054"/>
      <c r="T1467" s="1054"/>
      <c r="U1467" s="1054"/>
      <c r="V1467" s="1054"/>
      <c r="W1467" s="1054"/>
      <c r="X1467" s="1054"/>
      <c r="Y1467" s="1054"/>
    </row>
    <row r="1468" spans="1:25">
      <c r="A1468" s="1053"/>
      <c r="B1468" s="1053"/>
      <c r="C1468" s="1053"/>
      <c r="D1468" s="1053"/>
      <c r="E1468" s="1053"/>
      <c r="R1468" s="1054"/>
      <c r="S1468" s="1054"/>
      <c r="T1468" s="1054"/>
      <c r="U1468" s="1054"/>
      <c r="V1468" s="1054"/>
      <c r="W1468" s="1054"/>
      <c r="X1468" s="1054"/>
      <c r="Y1468" s="1054"/>
    </row>
    <row r="1469" spans="1:25">
      <c r="A1469" s="1053"/>
      <c r="B1469" s="1053"/>
      <c r="C1469" s="1053"/>
      <c r="D1469" s="1053"/>
      <c r="E1469" s="1053"/>
      <c r="R1469" s="1054"/>
      <c r="S1469" s="1054"/>
      <c r="T1469" s="1054"/>
      <c r="U1469" s="1054"/>
      <c r="V1469" s="1054"/>
      <c r="W1469" s="1054"/>
      <c r="X1469" s="1054"/>
      <c r="Y1469" s="1054"/>
    </row>
    <row r="1470" spans="1:25">
      <c r="A1470" s="1053"/>
      <c r="B1470" s="1053"/>
      <c r="C1470" s="1053"/>
      <c r="D1470" s="1053"/>
      <c r="E1470" s="1053"/>
      <c r="R1470" s="1054"/>
      <c r="S1470" s="1054"/>
      <c r="T1470" s="1054"/>
      <c r="U1470" s="1054"/>
      <c r="V1470" s="1054"/>
      <c r="W1470" s="1054"/>
      <c r="X1470" s="1054"/>
      <c r="Y1470" s="1054"/>
    </row>
    <row r="1471" spans="1:25">
      <c r="A1471" s="1053"/>
      <c r="B1471" s="1053"/>
      <c r="C1471" s="1053"/>
      <c r="D1471" s="1053"/>
      <c r="E1471" s="1053"/>
      <c r="R1471" s="1054"/>
      <c r="S1471" s="1054"/>
      <c r="T1471" s="1054"/>
      <c r="U1471" s="1054"/>
      <c r="V1471" s="1054"/>
      <c r="W1471" s="1054"/>
      <c r="X1471" s="1054"/>
      <c r="Y1471" s="1054"/>
    </row>
    <row r="1472" spans="1:25">
      <c r="A1472" s="1053"/>
      <c r="B1472" s="1053"/>
      <c r="C1472" s="1053"/>
      <c r="D1472" s="1053"/>
      <c r="E1472" s="1053"/>
      <c r="R1472" s="1054"/>
      <c r="S1472" s="1054"/>
      <c r="T1472" s="1054"/>
      <c r="U1472" s="1054"/>
      <c r="V1472" s="1054"/>
      <c r="W1472" s="1054"/>
      <c r="X1472" s="1054"/>
      <c r="Y1472" s="1054"/>
    </row>
    <row r="1473" spans="1:25">
      <c r="A1473" s="1053"/>
      <c r="B1473" s="1053"/>
      <c r="C1473" s="1053"/>
      <c r="D1473" s="1053"/>
      <c r="E1473" s="1053"/>
      <c r="R1473" s="1054"/>
      <c r="S1473" s="1054"/>
      <c r="T1473" s="1054"/>
      <c r="U1473" s="1054"/>
      <c r="V1473" s="1054"/>
      <c r="W1473" s="1054"/>
      <c r="X1473" s="1054"/>
      <c r="Y1473" s="1054"/>
    </row>
    <row r="1474" spans="1:25">
      <c r="A1474" s="1053"/>
      <c r="B1474" s="1053"/>
      <c r="C1474" s="1053"/>
      <c r="D1474" s="1053"/>
      <c r="E1474" s="1053"/>
      <c r="R1474" s="1054"/>
      <c r="S1474" s="1054"/>
      <c r="T1474" s="1054"/>
      <c r="U1474" s="1054"/>
      <c r="V1474" s="1054"/>
      <c r="W1474" s="1054"/>
      <c r="X1474" s="1054"/>
      <c r="Y1474" s="1054"/>
    </row>
    <row r="1475" spans="1:25">
      <c r="A1475" s="1053"/>
      <c r="B1475" s="1053"/>
      <c r="C1475" s="1053"/>
      <c r="D1475" s="1053"/>
      <c r="E1475" s="1053"/>
      <c r="R1475" s="1054"/>
      <c r="S1475" s="1054"/>
      <c r="T1475" s="1054"/>
      <c r="U1475" s="1054"/>
      <c r="V1475" s="1054"/>
      <c r="W1475" s="1054"/>
      <c r="X1475" s="1054"/>
      <c r="Y1475" s="1054"/>
    </row>
    <row r="1476" spans="1:25">
      <c r="A1476" s="1053"/>
      <c r="B1476" s="1053"/>
      <c r="C1476" s="1053"/>
      <c r="D1476" s="1053"/>
      <c r="E1476" s="1053"/>
      <c r="R1476" s="1054"/>
      <c r="S1476" s="1054"/>
      <c r="T1476" s="1054"/>
      <c r="U1476" s="1054"/>
      <c r="V1476" s="1054"/>
      <c r="W1476" s="1054"/>
      <c r="X1476" s="1054"/>
      <c r="Y1476" s="1054"/>
    </row>
    <row r="1477" spans="1:25">
      <c r="A1477" s="1053"/>
      <c r="B1477" s="1053"/>
      <c r="C1477" s="1053"/>
      <c r="D1477" s="1053"/>
      <c r="E1477" s="1053"/>
      <c r="R1477" s="1054"/>
      <c r="S1477" s="1054"/>
      <c r="T1477" s="1054"/>
      <c r="U1477" s="1054"/>
      <c r="V1477" s="1054"/>
      <c r="W1477" s="1054"/>
      <c r="X1477" s="1054"/>
      <c r="Y1477" s="1054"/>
    </row>
    <row r="1478" spans="1:25">
      <c r="A1478" s="1053"/>
      <c r="B1478" s="1053"/>
      <c r="C1478" s="1053"/>
      <c r="D1478" s="1053"/>
      <c r="E1478" s="1053"/>
      <c r="R1478" s="1054"/>
      <c r="S1478" s="1054"/>
      <c r="T1478" s="1054"/>
      <c r="U1478" s="1054"/>
      <c r="V1478" s="1054"/>
      <c r="W1478" s="1054"/>
      <c r="X1478" s="1054"/>
      <c r="Y1478" s="1054"/>
    </row>
    <row r="1479" spans="1:25">
      <c r="A1479" s="1053"/>
      <c r="B1479" s="1053"/>
      <c r="C1479" s="1053"/>
      <c r="D1479" s="1053"/>
      <c r="E1479" s="1053"/>
      <c r="R1479" s="1054"/>
      <c r="S1479" s="1054"/>
      <c r="T1479" s="1054"/>
      <c r="U1479" s="1054"/>
      <c r="V1479" s="1054"/>
      <c r="W1479" s="1054"/>
      <c r="X1479" s="1054"/>
      <c r="Y1479" s="1054"/>
    </row>
    <row r="1480" spans="1:25">
      <c r="A1480" s="1053"/>
      <c r="B1480" s="1053"/>
      <c r="C1480" s="1053"/>
      <c r="D1480" s="1053"/>
      <c r="E1480" s="1053"/>
      <c r="R1480" s="1054"/>
      <c r="S1480" s="1054"/>
      <c r="T1480" s="1054"/>
      <c r="U1480" s="1054"/>
      <c r="V1480" s="1054"/>
      <c r="W1480" s="1054"/>
      <c r="X1480" s="1054"/>
      <c r="Y1480" s="1054"/>
    </row>
    <row r="1481" spans="1:25">
      <c r="A1481" s="1053"/>
      <c r="B1481" s="1053"/>
      <c r="C1481" s="1053"/>
      <c r="D1481" s="1053"/>
      <c r="E1481" s="1053"/>
      <c r="R1481" s="1054"/>
      <c r="S1481" s="1054"/>
      <c r="T1481" s="1054"/>
      <c r="U1481" s="1054"/>
      <c r="V1481" s="1054"/>
      <c r="W1481" s="1054"/>
      <c r="X1481" s="1054"/>
      <c r="Y1481" s="1054"/>
    </row>
    <row r="1482" spans="1:25">
      <c r="A1482" s="1053"/>
      <c r="B1482" s="1053"/>
      <c r="C1482" s="1053"/>
      <c r="D1482" s="1053"/>
      <c r="E1482" s="1053"/>
      <c r="R1482" s="1054"/>
      <c r="S1482" s="1054"/>
      <c r="T1482" s="1054"/>
      <c r="U1482" s="1054"/>
      <c r="V1482" s="1054"/>
      <c r="W1482" s="1054"/>
      <c r="X1482" s="1054"/>
      <c r="Y1482" s="1054"/>
    </row>
    <row r="1483" spans="1:25">
      <c r="A1483" s="1053"/>
      <c r="B1483" s="1053"/>
      <c r="C1483" s="1053"/>
      <c r="D1483" s="1053"/>
      <c r="E1483" s="1053"/>
      <c r="R1483" s="1054"/>
      <c r="S1483" s="1054"/>
      <c r="T1483" s="1054"/>
      <c r="U1483" s="1054"/>
      <c r="V1483" s="1054"/>
      <c r="W1483" s="1054"/>
      <c r="X1483" s="1054"/>
      <c r="Y1483" s="1054"/>
    </row>
    <row r="1484" spans="1:25">
      <c r="A1484" s="1053"/>
      <c r="B1484" s="1053"/>
      <c r="C1484" s="1053"/>
      <c r="D1484" s="1053"/>
      <c r="E1484" s="1053"/>
      <c r="R1484" s="1054"/>
      <c r="S1484" s="1054"/>
      <c r="T1484" s="1054"/>
      <c r="U1484" s="1054"/>
      <c r="V1484" s="1054"/>
      <c r="W1484" s="1054"/>
      <c r="X1484" s="1054"/>
      <c r="Y1484" s="1054"/>
    </row>
    <row r="1485" spans="1:25">
      <c r="A1485" s="1053"/>
      <c r="B1485" s="1053"/>
      <c r="C1485" s="1053"/>
      <c r="D1485" s="1053"/>
      <c r="E1485" s="1053"/>
      <c r="R1485" s="1054"/>
      <c r="S1485" s="1054"/>
      <c r="T1485" s="1054"/>
      <c r="U1485" s="1054"/>
      <c r="V1485" s="1054"/>
      <c r="W1485" s="1054"/>
      <c r="X1485" s="1054"/>
      <c r="Y1485" s="1054"/>
    </row>
    <row r="1486" spans="1:25">
      <c r="A1486" s="1053"/>
      <c r="B1486" s="1053"/>
      <c r="C1486" s="1053"/>
      <c r="D1486" s="1053"/>
      <c r="E1486" s="1053"/>
      <c r="R1486" s="1054"/>
      <c r="S1486" s="1054"/>
      <c r="T1486" s="1054"/>
      <c r="U1486" s="1054"/>
      <c r="V1486" s="1054"/>
      <c r="W1486" s="1054"/>
      <c r="X1486" s="1054"/>
      <c r="Y1486" s="1054"/>
    </row>
    <row r="1487" spans="1:25">
      <c r="A1487" s="1053"/>
      <c r="B1487" s="1053"/>
      <c r="C1487" s="1053"/>
      <c r="D1487" s="1053"/>
      <c r="E1487" s="1053"/>
      <c r="R1487" s="1054"/>
      <c r="S1487" s="1054"/>
      <c r="T1487" s="1054"/>
      <c r="U1487" s="1054"/>
      <c r="V1487" s="1054"/>
      <c r="W1487" s="1054"/>
      <c r="X1487" s="1054"/>
      <c r="Y1487" s="1054"/>
    </row>
    <row r="1488" spans="1:25">
      <c r="A1488" s="1053"/>
      <c r="B1488" s="1053"/>
      <c r="C1488" s="1053"/>
      <c r="D1488" s="1053"/>
      <c r="E1488" s="1053"/>
      <c r="R1488" s="1054"/>
      <c r="S1488" s="1054"/>
      <c r="T1488" s="1054"/>
      <c r="U1488" s="1054"/>
      <c r="V1488" s="1054"/>
      <c r="W1488" s="1054"/>
      <c r="X1488" s="1054"/>
      <c r="Y1488" s="1054"/>
    </row>
    <row r="1489" spans="1:25">
      <c r="A1489" s="1053"/>
      <c r="B1489" s="1053"/>
      <c r="C1489" s="1053"/>
      <c r="D1489" s="1053"/>
      <c r="E1489" s="1053"/>
      <c r="R1489" s="1054"/>
      <c r="S1489" s="1054"/>
      <c r="T1489" s="1054"/>
      <c r="U1489" s="1054"/>
      <c r="V1489" s="1054"/>
      <c r="W1489" s="1054"/>
      <c r="X1489" s="1054"/>
      <c r="Y1489" s="1054"/>
    </row>
    <row r="1490" spans="1:25">
      <c r="A1490" s="1053"/>
      <c r="B1490" s="1053"/>
      <c r="C1490" s="1053"/>
      <c r="D1490" s="1053"/>
      <c r="E1490" s="1053"/>
      <c r="R1490" s="1054"/>
      <c r="S1490" s="1054"/>
      <c r="T1490" s="1054"/>
      <c r="U1490" s="1054"/>
      <c r="V1490" s="1054"/>
      <c r="W1490" s="1054"/>
      <c r="X1490" s="1054"/>
      <c r="Y1490" s="1054"/>
    </row>
    <row r="1491" spans="1:25">
      <c r="A1491" s="1053"/>
      <c r="B1491" s="1053"/>
      <c r="C1491" s="1053"/>
      <c r="D1491" s="1053"/>
      <c r="E1491" s="1053"/>
      <c r="R1491" s="1054"/>
      <c r="S1491" s="1054"/>
      <c r="T1491" s="1054"/>
      <c r="U1491" s="1054"/>
      <c r="V1491" s="1054"/>
      <c r="W1491" s="1054"/>
      <c r="X1491" s="1054"/>
      <c r="Y1491" s="1054"/>
    </row>
    <row r="1492" spans="1:25">
      <c r="A1492" s="1053"/>
      <c r="B1492" s="1053"/>
      <c r="C1492" s="1053"/>
      <c r="D1492" s="1053"/>
      <c r="E1492" s="1053"/>
      <c r="R1492" s="1054"/>
      <c r="S1492" s="1054"/>
      <c r="T1492" s="1054"/>
      <c r="U1492" s="1054"/>
      <c r="V1492" s="1054"/>
      <c r="W1492" s="1054"/>
      <c r="X1492" s="1054"/>
      <c r="Y1492" s="1054"/>
    </row>
    <row r="1493" spans="1:25">
      <c r="A1493" s="1053"/>
      <c r="B1493" s="1053"/>
      <c r="C1493" s="1053"/>
      <c r="D1493" s="1053"/>
      <c r="E1493" s="1053"/>
      <c r="R1493" s="1054"/>
      <c r="S1493" s="1054"/>
      <c r="T1493" s="1054"/>
      <c r="U1493" s="1054"/>
      <c r="V1493" s="1054"/>
      <c r="W1493" s="1054"/>
      <c r="X1493" s="1054"/>
      <c r="Y1493" s="1054"/>
    </row>
    <row r="1494" spans="1:25">
      <c r="A1494" s="1053"/>
      <c r="B1494" s="1053"/>
      <c r="C1494" s="1053"/>
      <c r="D1494" s="1053"/>
      <c r="E1494" s="1053"/>
      <c r="R1494" s="1054"/>
      <c r="S1494" s="1054"/>
      <c r="T1494" s="1054"/>
      <c r="U1494" s="1054"/>
      <c r="V1494" s="1054"/>
      <c r="W1494" s="1054"/>
      <c r="X1494" s="1054"/>
      <c r="Y1494" s="1054"/>
    </row>
    <row r="1495" spans="1:25">
      <c r="A1495" s="1053"/>
      <c r="B1495" s="1053"/>
      <c r="C1495" s="1053"/>
      <c r="D1495" s="1053"/>
      <c r="E1495" s="1053"/>
      <c r="R1495" s="1054"/>
      <c r="S1495" s="1054"/>
      <c r="T1495" s="1054"/>
      <c r="U1495" s="1054"/>
      <c r="V1495" s="1054"/>
      <c r="W1495" s="1054"/>
      <c r="X1495" s="1054"/>
      <c r="Y1495" s="1054"/>
    </row>
    <row r="1496" spans="1:25">
      <c r="A1496" s="1053"/>
      <c r="B1496" s="1053"/>
      <c r="C1496" s="1053"/>
      <c r="D1496" s="1053"/>
      <c r="E1496" s="1053"/>
      <c r="R1496" s="1054"/>
      <c r="S1496" s="1054"/>
      <c r="T1496" s="1054"/>
      <c r="U1496" s="1054"/>
      <c r="V1496" s="1054"/>
      <c r="W1496" s="1054"/>
      <c r="X1496" s="1054"/>
      <c r="Y1496" s="1054"/>
    </row>
    <row r="1497" spans="1:25">
      <c r="A1497" s="1053"/>
      <c r="B1497" s="1053"/>
      <c r="C1497" s="1053"/>
      <c r="D1497" s="1053"/>
      <c r="E1497" s="1053"/>
      <c r="R1497" s="1054"/>
      <c r="S1497" s="1054"/>
      <c r="T1497" s="1054"/>
      <c r="U1497" s="1054"/>
      <c r="V1497" s="1054"/>
      <c r="W1497" s="1054"/>
      <c r="X1497" s="1054"/>
      <c r="Y1497" s="1054"/>
    </row>
    <row r="1498" spans="1:25">
      <c r="A1498" s="1053"/>
      <c r="B1498" s="1053"/>
      <c r="C1498" s="1053"/>
      <c r="D1498" s="1053"/>
      <c r="E1498" s="1053"/>
      <c r="R1498" s="1054"/>
      <c r="S1498" s="1054"/>
      <c r="T1498" s="1054"/>
      <c r="U1498" s="1054"/>
      <c r="V1498" s="1054"/>
      <c r="W1498" s="1054"/>
      <c r="X1498" s="1054"/>
      <c r="Y1498" s="1054"/>
    </row>
    <row r="1499" spans="1:25">
      <c r="A1499" s="1053"/>
      <c r="B1499" s="1053"/>
      <c r="C1499" s="1053"/>
      <c r="D1499" s="1053"/>
      <c r="E1499" s="1053"/>
      <c r="R1499" s="1054"/>
      <c r="S1499" s="1054"/>
      <c r="T1499" s="1054"/>
      <c r="U1499" s="1054"/>
      <c r="V1499" s="1054"/>
      <c r="W1499" s="1054"/>
      <c r="X1499" s="1054"/>
      <c r="Y1499" s="1054"/>
    </row>
    <row r="1500" spans="1:25">
      <c r="A1500" s="1053"/>
      <c r="B1500" s="1053"/>
      <c r="C1500" s="1053"/>
      <c r="D1500" s="1053"/>
      <c r="E1500" s="1053"/>
      <c r="R1500" s="1054"/>
      <c r="S1500" s="1054"/>
      <c r="T1500" s="1054"/>
      <c r="U1500" s="1054"/>
      <c r="V1500" s="1054"/>
      <c r="W1500" s="1054"/>
      <c r="X1500" s="1054"/>
      <c r="Y1500" s="1054"/>
    </row>
    <row r="1501" spans="1:25">
      <c r="A1501" s="1053"/>
      <c r="B1501" s="1053"/>
      <c r="C1501" s="1053"/>
      <c r="D1501" s="1053"/>
      <c r="E1501" s="1053"/>
      <c r="R1501" s="1054"/>
      <c r="S1501" s="1054"/>
      <c r="T1501" s="1054"/>
      <c r="U1501" s="1054"/>
      <c r="V1501" s="1054"/>
      <c r="W1501" s="1054"/>
      <c r="X1501" s="1054"/>
      <c r="Y1501" s="1054"/>
    </row>
    <row r="1502" spans="1:25">
      <c r="A1502" s="1053"/>
      <c r="B1502" s="1053"/>
      <c r="C1502" s="1053"/>
      <c r="D1502" s="1053"/>
      <c r="E1502" s="1053"/>
      <c r="R1502" s="1054"/>
      <c r="S1502" s="1054"/>
      <c r="T1502" s="1054"/>
      <c r="U1502" s="1054"/>
      <c r="V1502" s="1054"/>
      <c r="W1502" s="1054"/>
      <c r="X1502" s="1054"/>
      <c r="Y1502" s="1054"/>
    </row>
    <row r="1503" spans="1:25">
      <c r="A1503" s="1053"/>
      <c r="B1503" s="1053"/>
      <c r="C1503" s="1053"/>
      <c r="D1503" s="1053"/>
      <c r="E1503" s="1053"/>
      <c r="R1503" s="1054"/>
      <c r="S1503" s="1054"/>
      <c r="T1503" s="1054"/>
      <c r="U1503" s="1054"/>
      <c r="V1503" s="1054"/>
      <c r="W1503" s="1054"/>
      <c r="X1503" s="1054"/>
      <c r="Y1503" s="1054"/>
    </row>
    <row r="1504" spans="1:25">
      <c r="A1504" s="1053"/>
      <c r="B1504" s="1053"/>
      <c r="C1504" s="1053"/>
      <c r="D1504" s="1053"/>
      <c r="E1504" s="1053"/>
      <c r="R1504" s="1054"/>
      <c r="S1504" s="1054"/>
      <c r="T1504" s="1054"/>
      <c r="U1504" s="1054"/>
      <c r="V1504" s="1054"/>
      <c r="W1504" s="1054"/>
      <c r="X1504" s="1054"/>
      <c r="Y1504" s="1054"/>
    </row>
    <row r="1505" spans="1:25">
      <c r="A1505" s="1053"/>
      <c r="B1505" s="1053"/>
      <c r="C1505" s="1053"/>
      <c r="D1505" s="1053"/>
      <c r="E1505" s="1053"/>
      <c r="R1505" s="1054"/>
      <c r="S1505" s="1054"/>
      <c r="T1505" s="1054"/>
      <c r="U1505" s="1054"/>
      <c r="V1505" s="1054"/>
      <c r="W1505" s="1054"/>
      <c r="X1505" s="1054"/>
      <c r="Y1505" s="1054"/>
    </row>
    <row r="1506" spans="1:25">
      <c r="A1506" s="1053"/>
      <c r="B1506" s="1053"/>
      <c r="C1506" s="1053"/>
      <c r="D1506" s="1053"/>
      <c r="E1506" s="1053"/>
      <c r="R1506" s="1054"/>
      <c r="S1506" s="1054"/>
      <c r="T1506" s="1054"/>
      <c r="U1506" s="1054"/>
      <c r="V1506" s="1054"/>
      <c r="W1506" s="1054"/>
      <c r="X1506" s="1054"/>
      <c r="Y1506" s="1054"/>
    </row>
    <row r="1507" spans="1:25">
      <c r="A1507" s="1053"/>
      <c r="B1507" s="1053"/>
      <c r="C1507" s="1053"/>
      <c r="D1507" s="1053"/>
      <c r="E1507" s="1053"/>
      <c r="R1507" s="1054"/>
      <c r="S1507" s="1054"/>
      <c r="T1507" s="1054"/>
      <c r="U1507" s="1054"/>
      <c r="V1507" s="1054"/>
      <c r="W1507" s="1054"/>
      <c r="X1507" s="1054"/>
      <c r="Y1507" s="1054"/>
    </row>
    <row r="1508" spans="1:25">
      <c r="A1508" s="1053"/>
      <c r="B1508" s="1053"/>
      <c r="C1508" s="1053"/>
      <c r="D1508" s="1053"/>
      <c r="E1508" s="1053"/>
      <c r="R1508" s="1054"/>
      <c r="S1508" s="1054"/>
      <c r="T1508" s="1054"/>
      <c r="U1508" s="1054"/>
      <c r="V1508" s="1054"/>
      <c r="W1508" s="1054"/>
      <c r="X1508" s="1054"/>
      <c r="Y1508" s="1054"/>
    </row>
    <row r="1509" spans="1:25">
      <c r="A1509" s="1053"/>
      <c r="B1509" s="1053"/>
      <c r="C1509" s="1053"/>
      <c r="D1509" s="1053"/>
      <c r="E1509" s="1053"/>
      <c r="R1509" s="1054"/>
      <c r="S1509" s="1054"/>
      <c r="T1509" s="1054"/>
      <c r="U1509" s="1054"/>
      <c r="V1509" s="1054"/>
      <c r="W1509" s="1054"/>
      <c r="X1509" s="1054"/>
      <c r="Y1509" s="1054"/>
    </row>
    <row r="1510" spans="1:25">
      <c r="A1510" s="1053"/>
      <c r="B1510" s="1053"/>
      <c r="C1510" s="1053"/>
      <c r="D1510" s="1053"/>
      <c r="E1510" s="1053"/>
      <c r="R1510" s="1054"/>
      <c r="S1510" s="1054"/>
      <c r="T1510" s="1054"/>
      <c r="U1510" s="1054"/>
      <c r="V1510" s="1054"/>
      <c r="W1510" s="1054"/>
      <c r="X1510" s="1054"/>
      <c r="Y1510" s="1054"/>
    </row>
    <row r="1511" spans="1:25">
      <c r="A1511" s="1053"/>
      <c r="B1511" s="1053"/>
      <c r="C1511" s="1053"/>
      <c r="D1511" s="1053"/>
      <c r="E1511" s="1053"/>
      <c r="R1511" s="1054"/>
      <c r="S1511" s="1054"/>
      <c r="T1511" s="1054"/>
      <c r="U1511" s="1054"/>
      <c r="V1511" s="1054"/>
      <c r="W1511" s="1054"/>
      <c r="X1511" s="1054"/>
      <c r="Y1511" s="1054"/>
    </row>
    <row r="1512" spans="1:25">
      <c r="A1512" s="1053"/>
      <c r="B1512" s="1053"/>
      <c r="C1512" s="1053"/>
      <c r="D1512" s="1053"/>
      <c r="E1512" s="1053"/>
      <c r="R1512" s="1054"/>
      <c r="S1512" s="1054"/>
      <c r="T1512" s="1054"/>
      <c r="U1512" s="1054"/>
      <c r="V1512" s="1054"/>
      <c r="W1512" s="1054"/>
      <c r="X1512" s="1054"/>
      <c r="Y1512" s="1054"/>
    </row>
    <row r="1513" spans="1:25">
      <c r="A1513" s="1053"/>
      <c r="B1513" s="1053"/>
      <c r="C1513" s="1053"/>
      <c r="D1513" s="1053"/>
      <c r="E1513" s="1053"/>
      <c r="R1513" s="1054"/>
      <c r="S1513" s="1054"/>
      <c r="T1513" s="1054"/>
      <c r="U1513" s="1054"/>
      <c r="V1513" s="1054"/>
      <c r="W1513" s="1054"/>
      <c r="X1513" s="1054"/>
      <c r="Y1513" s="1054"/>
    </row>
    <row r="1514" spans="1:25">
      <c r="A1514" s="1053"/>
      <c r="B1514" s="1053"/>
      <c r="C1514" s="1053"/>
      <c r="D1514" s="1053"/>
      <c r="E1514" s="1053"/>
      <c r="R1514" s="1054"/>
      <c r="S1514" s="1054"/>
      <c r="T1514" s="1054"/>
      <c r="U1514" s="1054"/>
      <c r="V1514" s="1054"/>
      <c r="W1514" s="1054"/>
      <c r="X1514" s="1054"/>
      <c r="Y1514" s="1054"/>
    </row>
    <row r="1515" spans="1:25">
      <c r="A1515" s="1053"/>
      <c r="B1515" s="1053"/>
      <c r="C1515" s="1053"/>
      <c r="D1515" s="1053"/>
      <c r="E1515" s="1053"/>
      <c r="R1515" s="1054"/>
      <c r="S1515" s="1054"/>
      <c r="T1515" s="1054"/>
      <c r="U1515" s="1054"/>
      <c r="V1515" s="1054"/>
      <c r="W1515" s="1054"/>
      <c r="X1515" s="1054"/>
      <c r="Y1515" s="1054"/>
    </row>
    <row r="1516" spans="1:25">
      <c r="A1516" s="1053"/>
      <c r="B1516" s="1053"/>
      <c r="C1516" s="1053"/>
      <c r="D1516" s="1053"/>
      <c r="E1516" s="1053"/>
      <c r="R1516" s="1054"/>
      <c r="S1516" s="1054"/>
      <c r="T1516" s="1054"/>
      <c r="U1516" s="1054"/>
      <c r="V1516" s="1054"/>
      <c r="W1516" s="1054"/>
      <c r="X1516" s="1054"/>
      <c r="Y1516" s="1054"/>
    </row>
    <row r="1517" spans="1:25">
      <c r="A1517" s="1053"/>
      <c r="B1517" s="1053"/>
      <c r="C1517" s="1053"/>
      <c r="D1517" s="1053"/>
      <c r="E1517" s="1053"/>
      <c r="R1517" s="1054"/>
      <c r="S1517" s="1054"/>
      <c r="T1517" s="1054"/>
      <c r="U1517" s="1054"/>
      <c r="V1517" s="1054"/>
      <c r="W1517" s="1054"/>
      <c r="X1517" s="1054"/>
      <c r="Y1517" s="1054"/>
    </row>
    <row r="1518" spans="1:25">
      <c r="A1518" s="1053"/>
      <c r="B1518" s="1053"/>
      <c r="C1518" s="1053"/>
      <c r="D1518" s="1053"/>
      <c r="E1518" s="1053"/>
      <c r="R1518" s="1054"/>
      <c r="S1518" s="1054"/>
      <c r="T1518" s="1054"/>
      <c r="U1518" s="1054"/>
      <c r="V1518" s="1054"/>
      <c r="W1518" s="1054"/>
      <c r="X1518" s="1054"/>
      <c r="Y1518" s="1054"/>
    </row>
    <row r="1519" spans="1:25">
      <c r="A1519" s="1053"/>
      <c r="B1519" s="1053"/>
      <c r="C1519" s="1053"/>
      <c r="D1519" s="1053"/>
      <c r="E1519" s="1053"/>
      <c r="R1519" s="1054"/>
      <c r="S1519" s="1054"/>
      <c r="T1519" s="1054"/>
      <c r="U1519" s="1054"/>
      <c r="V1519" s="1054"/>
      <c r="W1519" s="1054"/>
      <c r="X1519" s="1054"/>
      <c r="Y1519" s="1054"/>
    </row>
    <row r="1520" spans="1:25">
      <c r="A1520" s="1053"/>
      <c r="B1520" s="1053"/>
      <c r="C1520" s="1053"/>
      <c r="D1520" s="1053"/>
      <c r="E1520" s="1053"/>
      <c r="R1520" s="1054"/>
      <c r="S1520" s="1054"/>
      <c r="T1520" s="1054"/>
      <c r="U1520" s="1054"/>
      <c r="V1520" s="1054"/>
      <c r="W1520" s="1054"/>
      <c r="X1520" s="1054"/>
      <c r="Y1520" s="1054"/>
    </row>
    <row r="1521" spans="1:25">
      <c r="A1521" s="1053"/>
      <c r="B1521" s="1053"/>
      <c r="C1521" s="1053"/>
      <c r="D1521" s="1053"/>
      <c r="E1521" s="1053"/>
      <c r="R1521" s="1054"/>
      <c r="S1521" s="1054"/>
      <c r="T1521" s="1054"/>
      <c r="U1521" s="1054"/>
      <c r="V1521" s="1054"/>
      <c r="W1521" s="1054"/>
      <c r="X1521" s="1054"/>
      <c r="Y1521" s="1054"/>
    </row>
    <row r="1522" spans="1:25">
      <c r="A1522" s="1053"/>
      <c r="B1522" s="1053"/>
      <c r="C1522" s="1053"/>
      <c r="D1522" s="1053"/>
      <c r="E1522" s="1053"/>
      <c r="R1522" s="1054"/>
      <c r="S1522" s="1054"/>
      <c r="T1522" s="1054"/>
      <c r="U1522" s="1054"/>
      <c r="V1522" s="1054"/>
      <c r="W1522" s="1054"/>
      <c r="X1522" s="1054"/>
      <c r="Y1522" s="1054"/>
    </row>
    <row r="1523" spans="1:25">
      <c r="A1523" s="1053"/>
      <c r="B1523" s="1053"/>
      <c r="C1523" s="1053"/>
      <c r="D1523" s="1053"/>
      <c r="E1523" s="1053"/>
      <c r="R1523" s="1054"/>
      <c r="S1523" s="1054"/>
      <c r="T1523" s="1054"/>
      <c r="U1523" s="1054"/>
      <c r="V1523" s="1054"/>
      <c r="W1523" s="1054"/>
      <c r="X1523" s="1054"/>
      <c r="Y1523" s="1054"/>
    </row>
    <row r="1524" spans="1:25">
      <c r="A1524" s="1053"/>
      <c r="B1524" s="1053"/>
      <c r="C1524" s="1053"/>
      <c r="D1524" s="1053"/>
      <c r="E1524" s="1053"/>
      <c r="R1524" s="1054"/>
      <c r="S1524" s="1054"/>
      <c r="T1524" s="1054"/>
      <c r="U1524" s="1054"/>
      <c r="V1524" s="1054"/>
      <c r="W1524" s="1054"/>
      <c r="X1524" s="1054"/>
      <c r="Y1524" s="1054"/>
    </row>
    <row r="1525" spans="1:25">
      <c r="A1525" s="1053"/>
      <c r="B1525" s="1053"/>
      <c r="C1525" s="1053"/>
      <c r="D1525" s="1053"/>
      <c r="E1525" s="1053"/>
      <c r="R1525" s="1054"/>
      <c r="S1525" s="1054"/>
      <c r="T1525" s="1054"/>
      <c r="U1525" s="1054"/>
      <c r="V1525" s="1054"/>
      <c r="W1525" s="1054"/>
      <c r="X1525" s="1054"/>
      <c r="Y1525" s="1054"/>
    </row>
    <row r="1526" spans="1:25">
      <c r="A1526" s="1053"/>
      <c r="B1526" s="1053"/>
      <c r="C1526" s="1053"/>
      <c r="D1526" s="1053"/>
      <c r="E1526" s="1053"/>
      <c r="R1526" s="1054"/>
      <c r="S1526" s="1054"/>
      <c r="T1526" s="1054"/>
      <c r="U1526" s="1054"/>
      <c r="V1526" s="1054"/>
      <c r="W1526" s="1054"/>
      <c r="X1526" s="1054"/>
      <c r="Y1526" s="1054"/>
    </row>
    <row r="1527" spans="1:25">
      <c r="E1527" s="1053"/>
      <c r="R1527" s="1054"/>
      <c r="S1527" s="1054"/>
      <c r="T1527" s="1054"/>
      <c r="U1527" s="1054"/>
      <c r="V1527" s="1054"/>
      <c r="W1527" s="1054"/>
      <c r="X1527" s="1054"/>
      <c r="Y1527" s="1054"/>
    </row>
    <row r="1528" spans="1:25">
      <c r="E1528" s="1053"/>
      <c r="R1528" s="1054"/>
      <c r="S1528" s="1054"/>
      <c r="T1528" s="1054"/>
      <c r="U1528" s="1054"/>
      <c r="V1528" s="1054"/>
      <c r="W1528" s="1054"/>
      <c r="X1528" s="1054"/>
      <c r="Y1528" s="1054"/>
    </row>
  </sheetData>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36" r:id="rId3"/>
    <hyperlink ref="B43" r:id="rId4"/>
    <hyperlink ref="B58" r:id="rId5"/>
    <hyperlink ref="B78" r:id="rId6"/>
    <hyperlink ref="B84" r:id="rId7"/>
    <hyperlink ref="D58" r:id="rId8"/>
  </hyperlinks>
  <pageMargins left="0.75" right="0.27" top="1" bottom="1" header="0.5" footer="0.5"/>
  <pageSetup scale="70" orientation="portrait" r:id="rId9"/>
  <headerFooter alignWithMargins="0"/>
</worksheet>
</file>

<file path=xl/worksheets/sheet7.xml><?xml version="1.0" encoding="utf-8"?>
<worksheet xmlns="http://schemas.openxmlformats.org/spreadsheetml/2006/main" xmlns:r="http://schemas.openxmlformats.org/officeDocument/2006/relationships">
  <sheetPr codeName="Sheet81" enableFormatConditionsCalculation="0">
    <tabColor indexed="44"/>
    <pageSetUpPr fitToPage="1"/>
  </sheetPr>
  <dimension ref="A1:P77"/>
  <sheetViews>
    <sheetView showGridLines="0" workbookViewId="0">
      <pane xSplit="1" ySplit="5" topLeftCell="B48" activePane="bottomRight" state="frozen"/>
      <selection activeCell="B56" sqref="A1:C167"/>
      <selection pane="topRight" activeCell="B56" sqref="A1:C167"/>
      <selection pane="bottomLeft" activeCell="B56" sqref="A1:C167"/>
      <selection pane="bottomRight" activeCell="H51" sqref="H51"/>
    </sheetView>
  </sheetViews>
  <sheetFormatPr defaultRowHeight="12.75"/>
  <cols>
    <col min="1" max="1" width="30.7109375" style="5" customWidth="1"/>
    <col min="2" max="13" width="8.7109375" style="5" customWidth="1"/>
    <col min="14" max="16" width="7.7109375" style="5" customWidth="1"/>
    <col min="17" max="16384" width="9.140625" style="5"/>
  </cols>
  <sheetData>
    <row r="1" spans="1:12" ht="13.5">
      <c r="A1" s="3" t="str">
        <f>muni&amp;" - "&amp;adjsum&amp;" - "&amp;Date</f>
        <v>LIM333 Greater Tzaneen - Table B1 Consolidated Adjustments Budget Summary - 26 FEBRUARY 2014</v>
      </c>
      <c r="B1" s="4"/>
      <c r="C1" s="4"/>
      <c r="D1" s="4"/>
      <c r="E1" s="4"/>
      <c r="F1" s="4"/>
      <c r="G1" s="4"/>
      <c r="H1" s="4"/>
      <c r="I1" s="4"/>
      <c r="J1" s="4"/>
      <c r="K1" s="4"/>
      <c r="L1" s="4"/>
    </row>
    <row r="2" spans="1:12" ht="38.25" customHeight="1">
      <c r="A2" s="1322" t="str">
        <f>desc</f>
        <v>Description</v>
      </c>
      <c r="B2" s="1319" t="str">
        <f>Head2</f>
        <v>Budget Year 2013/14</v>
      </c>
      <c r="C2" s="1320"/>
      <c r="D2" s="1320"/>
      <c r="E2" s="1320"/>
      <c r="F2" s="1320"/>
      <c r="G2" s="1320"/>
      <c r="H2" s="1320"/>
      <c r="I2" s="1320"/>
      <c r="J2" s="1321"/>
      <c r="K2" s="6" t="str">
        <f>Head10</f>
        <v>Budget Year +1 2014/15</v>
      </c>
      <c r="L2" s="7" t="str">
        <f>Head11</f>
        <v>Budget Year +2 2015/16</v>
      </c>
    </row>
    <row r="3" spans="1:12" ht="25.5">
      <c r="A3" s="132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323"/>
      <c r="B4" s="14"/>
      <c r="C4" s="15">
        <v>1</v>
      </c>
      <c r="D4" s="15">
        <v>2</v>
      </c>
      <c r="E4" s="15">
        <v>3</v>
      </c>
      <c r="F4" s="15">
        <v>4</v>
      </c>
      <c r="G4" s="15">
        <v>5</v>
      </c>
      <c r="H4" s="15">
        <v>6</v>
      </c>
      <c r="I4" s="15">
        <v>7</v>
      </c>
      <c r="J4" s="15">
        <v>8</v>
      </c>
      <c r="K4" s="16"/>
      <c r="L4" s="17"/>
    </row>
    <row r="5" spans="1:12">
      <c r="A5" s="18" t="s">
        <v>643</v>
      </c>
      <c r="B5" s="19" t="s">
        <v>583</v>
      </c>
      <c r="C5" s="20" t="s">
        <v>584</v>
      </c>
      <c r="D5" s="20" t="s">
        <v>585</v>
      </c>
      <c r="E5" s="21" t="s">
        <v>586</v>
      </c>
      <c r="F5" s="21" t="s">
        <v>587</v>
      </c>
      <c r="G5" s="21" t="s">
        <v>588</v>
      </c>
      <c r="H5" s="22" t="s">
        <v>589</v>
      </c>
      <c r="I5" s="22" t="s">
        <v>590</v>
      </c>
      <c r="J5" s="21" t="s">
        <v>591</v>
      </c>
      <c r="K5" s="23"/>
      <c r="L5" s="24"/>
    </row>
    <row r="6" spans="1:12" ht="12.75" customHeight="1">
      <c r="A6" s="25" t="s">
        <v>592</v>
      </c>
      <c r="B6" s="26"/>
      <c r="C6" s="27"/>
      <c r="D6" s="27"/>
      <c r="E6" s="27"/>
      <c r="F6" s="27"/>
      <c r="G6" s="27"/>
      <c r="H6" s="27"/>
      <c r="I6" s="27"/>
      <c r="J6" s="27"/>
      <c r="K6" s="28"/>
      <c r="L6" s="29"/>
    </row>
    <row r="7" spans="1:12" ht="12.75" customHeight="1">
      <c r="A7" s="30" t="s">
        <v>593</v>
      </c>
      <c r="B7" s="75">
        <f>SUM('B4-FinPerf RE'!C7:C8)</f>
        <v>55360000</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55360000</v>
      </c>
      <c r="K7" s="75">
        <f>SUM('B4-FinPerf RE'!L7:L8)</f>
        <v>58072640</v>
      </c>
      <c r="L7" s="76">
        <f>SUM('B4-FinPerf RE'!M7:M8)</f>
        <v>60918199</v>
      </c>
    </row>
    <row r="8" spans="1:12" ht="12.75" customHeight="1">
      <c r="A8" s="30" t="s">
        <v>594</v>
      </c>
      <c r="B8" s="75">
        <f>SUM('B4-FinPerf RE'!C9:C13)</f>
        <v>401775773</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401775773</v>
      </c>
      <c r="K8" s="75">
        <f>SUM('B4-FinPerf RE'!L9:L13)</f>
        <v>421462785.69999999</v>
      </c>
      <c r="L8" s="76">
        <f>SUM('B4-FinPerf RE'!M9:M13)</f>
        <v>442114462.16999996</v>
      </c>
    </row>
    <row r="9" spans="1:12" ht="12.75" customHeight="1">
      <c r="A9" s="30" t="s">
        <v>595</v>
      </c>
      <c r="B9" s="75">
        <f>'B4-FinPerf RE'!C15</f>
        <v>3001000</v>
      </c>
      <c r="C9" s="75">
        <f>'B4-FinPerf RE'!D15</f>
        <v>0</v>
      </c>
      <c r="D9" s="75">
        <f>'B4-FinPerf RE'!E15</f>
        <v>0</v>
      </c>
      <c r="E9" s="75">
        <f>'B4-FinPerf RE'!F15</f>
        <v>0</v>
      </c>
      <c r="F9" s="75">
        <f>'B4-FinPerf RE'!G15</f>
        <v>0</v>
      </c>
      <c r="G9" s="75">
        <f>'B4-FinPerf RE'!H15</f>
        <v>0</v>
      </c>
      <c r="H9" s="75">
        <f>'B4-FinPerf RE'!I15</f>
        <v>0</v>
      </c>
      <c r="I9" s="75">
        <f t="shared" si="0"/>
        <v>0</v>
      </c>
      <c r="J9" s="75">
        <f t="shared" si="1"/>
        <v>3001000</v>
      </c>
      <c r="K9" s="75">
        <f>'B4-FinPerf RE'!L15</f>
        <v>3148049</v>
      </c>
      <c r="L9" s="76">
        <f>'B4-FinPerf RE'!M15</f>
        <v>3302303</v>
      </c>
    </row>
    <row r="10" spans="1:12" ht="12.75" customHeight="1">
      <c r="A10" s="655" t="s">
        <v>1250</v>
      </c>
      <c r="B10" s="75">
        <f>'B4-FinPerf RE'!C21</f>
        <v>238841880.38</v>
      </c>
      <c r="C10" s="75">
        <f>'B4-FinPerf RE'!D21</f>
        <v>0</v>
      </c>
      <c r="D10" s="75">
        <f>'B4-FinPerf RE'!E21</f>
        <v>0</v>
      </c>
      <c r="E10" s="75">
        <f>'B4-FinPerf RE'!F21</f>
        <v>0</v>
      </c>
      <c r="F10" s="75">
        <f>'B4-FinPerf RE'!G21</f>
        <v>0</v>
      </c>
      <c r="G10" s="75">
        <f>'B4-FinPerf RE'!H21</f>
        <v>0</v>
      </c>
      <c r="H10" s="75">
        <f>'B4-FinPerf RE'!I21</f>
        <v>0</v>
      </c>
      <c r="I10" s="75">
        <f t="shared" si="0"/>
        <v>0</v>
      </c>
      <c r="J10" s="75">
        <f t="shared" si="1"/>
        <v>238841880.38</v>
      </c>
      <c r="K10" s="75">
        <f>'B4-FinPerf RE'!L21</f>
        <v>267059041.99000001</v>
      </c>
      <c r="L10" s="76">
        <f>'B4-FinPerf RE'!M21</f>
        <v>321359364.50999999</v>
      </c>
    </row>
    <row r="11" spans="1:12" ht="12.75" customHeight="1">
      <c r="A11" s="36" t="s">
        <v>596</v>
      </c>
      <c r="B11" s="75">
        <f>'B4-FinPerf RE'!C14+'B4-FinPerf RE'!C16+'B4-FinPerf RE'!C17+'B4-FinPerf RE'!C18+'B4-FinPerf RE'!C19+'B4-FinPerf RE'!C20+'B4-FinPerf RE'!C22+'B4-FinPerf RE'!C23</f>
        <v>71765689</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38747614</v>
      </c>
      <c r="I11" s="75">
        <f t="shared" si="0"/>
        <v>38747614</v>
      </c>
      <c r="J11" s="75">
        <f t="shared" si="1"/>
        <v>110513303</v>
      </c>
      <c r="K11" s="75">
        <f>'B4-FinPerf RE'!L14+'B4-FinPerf RE'!L16+'B4-FinPerf RE'!L17+'B4-FinPerf RE'!L18+'B4-FinPerf RE'!L19+'B4-FinPerf RE'!L20+'B4-FinPerf RE'!L22+'B4-FinPerf RE'!L23</f>
        <v>81782209</v>
      </c>
      <c r="L11" s="76">
        <f>'B4-FinPerf RE'!M14+'B4-FinPerf RE'!M16+'B4-FinPerf RE'!M17+'B4-FinPerf RE'!M18+'B4-FinPerf RE'!M19+'B4-FinPerf RE'!M20+'B4-FinPerf RE'!M22+'B4-FinPerf RE'!M23</f>
        <v>85971036</v>
      </c>
    </row>
    <row r="12" spans="1:12" ht="23.25" customHeight="1">
      <c r="A12" s="656" t="s">
        <v>597</v>
      </c>
      <c r="B12" s="702">
        <f t="shared" ref="B12:L12" si="2">SUM(B7:B11)</f>
        <v>770744342.38</v>
      </c>
      <c r="C12" s="659">
        <f t="shared" si="2"/>
        <v>0</v>
      </c>
      <c r="D12" s="659">
        <f t="shared" si="2"/>
        <v>0</v>
      </c>
      <c r="E12" s="659">
        <f t="shared" si="2"/>
        <v>0</v>
      </c>
      <c r="F12" s="659">
        <f t="shared" si="2"/>
        <v>0</v>
      </c>
      <c r="G12" s="659">
        <f t="shared" si="2"/>
        <v>0</v>
      </c>
      <c r="H12" s="659">
        <f t="shared" si="2"/>
        <v>38747614</v>
      </c>
      <c r="I12" s="659">
        <f t="shared" si="0"/>
        <v>38747614</v>
      </c>
      <c r="J12" s="659">
        <f t="shared" si="1"/>
        <v>809491956.38</v>
      </c>
      <c r="K12" s="659">
        <f t="shared" si="2"/>
        <v>831524725.69000006</v>
      </c>
      <c r="L12" s="660">
        <f t="shared" si="2"/>
        <v>913665364.67999995</v>
      </c>
    </row>
    <row r="13" spans="1:12" ht="12.75" customHeight="1">
      <c r="A13" s="36" t="s">
        <v>598</v>
      </c>
      <c r="B13" s="75">
        <f>'B4-FinPerf RE'!C27</f>
        <v>131774472</v>
      </c>
      <c r="C13" s="75">
        <f>'B4-FinPerf RE'!D27</f>
        <v>0</v>
      </c>
      <c r="D13" s="75">
        <f>'B4-FinPerf RE'!E27</f>
        <v>0</v>
      </c>
      <c r="E13" s="75">
        <f>'B4-FinPerf RE'!F27</f>
        <v>0</v>
      </c>
      <c r="F13" s="75">
        <f>'B4-FinPerf RE'!G27</f>
        <v>0</v>
      </c>
      <c r="G13" s="75">
        <f>'B4-FinPerf RE'!H27</f>
        <v>0</v>
      </c>
      <c r="H13" s="75">
        <f>'B4-FinPerf RE'!I27</f>
        <v>3041000</v>
      </c>
      <c r="I13" s="75">
        <f t="shared" ref="I13:I19" si="3">SUM(D13:H13)</f>
        <v>3041000</v>
      </c>
      <c r="J13" s="75">
        <f t="shared" ref="J13:J19" si="4">IF(C13=0,B13+I13,C13+I13)</f>
        <v>134815472</v>
      </c>
      <c r="K13" s="75">
        <f>'B4-FinPerf RE'!L27</f>
        <v>141979633.76199999</v>
      </c>
      <c r="L13" s="76">
        <f>'B4-FinPerf RE'!M27</f>
        <v>149047417.8211</v>
      </c>
    </row>
    <row r="14" spans="1:12" ht="12.75" customHeight="1">
      <c r="A14" s="36" t="s">
        <v>599</v>
      </c>
      <c r="B14" s="75">
        <f>'B4-FinPerf RE'!C28</f>
        <v>18618694</v>
      </c>
      <c r="C14" s="75">
        <f>'B4-FinPerf RE'!D28</f>
        <v>0</v>
      </c>
      <c r="D14" s="75">
        <f>'B4-FinPerf RE'!E28</f>
        <v>0</v>
      </c>
      <c r="E14" s="75">
        <f>'B4-FinPerf RE'!F28</f>
        <v>0</v>
      </c>
      <c r="F14" s="75">
        <f>'B4-FinPerf RE'!G28</f>
        <v>0</v>
      </c>
      <c r="G14" s="75">
        <f>'B4-FinPerf RE'!H28</f>
        <v>0</v>
      </c>
      <c r="H14" s="75">
        <f>'B4-FinPerf RE'!I28</f>
        <v>350000</v>
      </c>
      <c r="I14" s="75">
        <f t="shared" si="3"/>
        <v>350000</v>
      </c>
      <c r="J14" s="75">
        <f t="shared" si="4"/>
        <v>18968694</v>
      </c>
      <c r="K14" s="75">
        <f>'B4-FinPerf RE'!L28</f>
        <v>19887010</v>
      </c>
      <c r="L14" s="76">
        <f>'B4-FinPerf RE'!M28</f>
        <v>20883829</v>
      </c>
    </row>
    <row r="15" spans="1:12" ht="12.75" customHeight="1">
      <c r="A15" s="36" t="s">
        <v>600</v>
      </c>
      <c r="B15" s="75">
        <f>'B4-FinPerf RE'!C30</f>
        <v>110726401</v>
      </c>
      <c r="C15" s="75">
        <f>'B4-FinPerf RE'!D30</f>
        <v>0</v>
      </c>
      <c r="D15" s="75">
        <f>'B4-FinPerf RE'!E30</f>
        <v>0</v>
      </c>
      <c r="E15" s="75">
        <f>'B4-FinPerf RE'!F30</f>
        <v>0</v>
      </c>
      <c r="F15" s="75">
        <f>'B4-FinPerf RE'!G30</f>
        <v>0</v>
      </c>
      <c r="G15" s="75">
        <f>'B4-FinPerf RE'!H30</f>
        <v>0</v>
      </c>
      <c r="H15" s="75">
        <f>'B4-FinPerf RE'!I30</f>
        <v>0</v>
      </c>
      <c r="I15" s="75">
        <f t="shared" si="3"/>
        <v>0</v>
      </c>
      <c r="J15" s="75">
        <f t="shared" si="4"/>
        <v>110726401</v>
      </c>
      <c r="K15" s="75">
        <f>'B4-FinPerf RE'!L30</f>
        <v>127384502</v>
      </c>
      <c r="L15" s="76">
        <f>'B4-FinPerf RE'!M30</f>
        <v>135825133</v>
      </c>
    </row>
    <row r="16" spans="1:12" ht="12.75" customHeight="1">
      <c r="A16" s="36" t="s">
        <v>601</v>
      </c>
      <c r="B16" s="75">
        <f>'B4-FinPerf RE'!C31</f>
        <v>11489393</v>
      </c>
      <c r="C16" s="75">
        <f>'B4-FinPerf RE'!D31</f>
        <v>0</v>
      </c>
      <c r="D16" s="75">
        <f>'B4-FinPerf RE'!E31</f>
        <v>0</v>
      </c>
      <c r="E16" s="75">
        <f>'B4-FinPerf RE'!F31</f>
        <v>0</v>
      </c>
      <c r="F16" s="75">
        <f>'B4-FinPerf RE'!G31</f>
        <v>0</v>
      </c>
      <c r="G16" s="75">
        <f>'B4-FinPerf RE'!H31</f>
        <v>0</v>
      </c>
      <c r="H16" s="75">
        <f>'B4-FinPerf RE'!I31</f>
        <v>0</v>
      </c>
      <c r="I16" s="75">
        <f t="shared" si="3"/>
        <v>0</v>
      </c>
      <c r="J16" s="75">
        <f t="shared" si="4"/>
        <v>11489393</v>
      </c>
      <c r="K16" s="75">
        <f>'B4-FinPerf RE'!L31</f>
        <v>12052374</v>
      </c>
      <c r="L16" s="76">
        <f>'B4-FinPerf RE'!M31</f>
        <v>12642940</v>
      </c>
    </row>
    <row r="17" spans="1:13" ht="12.75" customHeight="1">
      <c r="A17" s="36" t="s">
        <v>602</v>
      </c>
      <c r="B17" s="75">
        <f>SUM('B4-FinPerf RE'!C32:C33)</f>
        <v>248769734</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248769734</v>
      </c>
      <c r="K17" s="75">
        <f>SUM('B4-FinPerf RE'!L32:L33)</f>
        <v>260959451</v>
      </c>
      <c r="L17" s="76">
        <f>SUM('B4-FinPerf RE'!M32:M33)</f>
        <v>273746464.10000002</v>
      </c>
      <c r="M17" s="127"/>
    </row>
    <row r="18" spans="1:13" ht="12.75" customHeight="1">
      <c r="A18" s="36" t="s">
        <v>705</v>
      </c>
      <c r="B18" s="75">
        <f>'B4-FinPerf RE'!C35</f>
        <v>31548695</v>
      </c>
      <c r="C18" s="75">
        <f>'B4-FinPerf RE'!D35</f>
        <v>0</v>
      </c>
      <c r="D18" s="75">
        <f>'B4-FinPerf RE'!E35</f>
        <v>0</v>
      </c>
      <c r="E18" s="75">
        <f>'B4-FinPerf RE'!F35</f>
        <v>0</v>
      </c>
      <c r="F18" s="75">
        <f>'B4-FinPerf RE'!G35</f>
        <v>0</v>
      </c>
      <c r="G18" s="75">
        <f>'B4-FinPerf RE'!H35</f>
        <v>0</v>
      </c>
      <c r="H18" s="75">
        <f>'B4-FinPerf RE'!I35</f>
        <v>5226000</v>
      </c>
      <c r="I18" s="75">
        <f t="shared" si="3"/>
        <v>5226000</v>
      </c>
      <c r="J18" s="75">
        <f t="shared" si="4"/>
        <v>36774695</v>
      </c>
      <c r="K18" s="75">
        <f>'B4-FinPerf RE'!L35</f>
        <v>35295231.390000001</v>
      </c>
      <c r="L18" s="76">
        <f>'B4-FinPerf RE'!M35</f>
        <v>35758531.719999999</v>
      </c>
      <c r="M18" s="127"/>
    </row>
    <row r="19" spans="1:13" ht="12.75" customHeight="1">
      <c r="A19" s="36" t="s">
        <v>604</v>
      </c>
      <c r="B19" s="75">
        <f>'B4-FinPerf RE'!C38-SUM('B1-Sum'!B13:B18)</f>
        <v>228426330</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9554000</v>
      </c>
      <c r="I19" s="75">
        <f t="shared" si="3"/>
        <v>9554000</v>
      </c>
      <c r="J19" s="75">
        <f t="shared" si="4"/>
        <v>237980330</v>
      </c>
      <c r="K19" s="75">
        <f>'B4-FinPerf RE'!L38-SUM('B1-Sum'!K13:K18)</f>
        <v>241856041.31999993</v>
      </c>
      <c r="L19" s="76">
        <f>'B4-FinPerf RE'!M38-SUM('B1-Sum'!L13:L18)</f>
        <v>253754269.34000003</v>
      </c>
      <c r="M19" s="127"/>
    </row>
    <row r="20" spans="1:13" ht="12.75" customHeight="1">
      <c r="A20" s="37" t="s">
        <v>605</v>
      </c>
      <c r="B20" s="702">
        <f t="shared" ref="B20:L20" si="5">SUM(B13:B19)</f>
        <v>781353719</v>
      </c>
      <c r="C20" s="659">
        <f t="shared" si="5"/>
        <v>0</v>
      </c>
      <c r="D20" s="659">
        <f t="shared" si="5"/>
        <v>0</v>
      </c>
      <c r="E20" s="659">
        <f t="shared" si="5"/>
        <v>0</v>
      </c>
      <c r="F20" s="659">
        <f t="shared" si="5"/>
        <v>0</v>
      </c>
      <c r="G20" s="659">
        <f t="shared" si="5"/>
        <v>0</v>
      </c>
      <c r="H20" s="659">
        <f t="shared" si="5"/>
        <v>18171000</v>
      </c>
      <c r="I20" s="659">
        <f t="shared" si="5"/>
        <v>18171000</v>
      </c>
      <c r="J20" s="659">
        <f t="shared" si="5"/>
        <v>799524719</v>
      </c>
      <c r="K20" s="659">
        <f t="shared" si="5"/>
        <v>839414243.47199988</v>
      </c>
      <c r="L20" s="660">
        <f t="shared" si="5"/>
        <v>881658584.98110008</v>
      </c>
      <c r="M20" s="127"/>
    </row>
    <row r="21" spans="1:13" ht="12.75" customHeight="1">
      <c r="A21" s="38" t="s">
        <v>606</v>
      </c>
      <c r="B21" s="75">
        <f t="shared" ref="B21:L21" si="6">B12-B20</f>
        <v>-10609376.620000005</v>
      </c>
      <c r="C21" s="75">
        <f t="shared" si="6"/>
        <v>0</v>
      </c>
      <c r="D21" s="75">
        <f t="shared" si="6"/>
        <v>0</v>
      </c>
      <c r="E21" s="75">
        <f t="shared" si="6"/>
        <v>0</v>
      </c>
      <c r="F21" s="75">
        <f t="shared" si="6"/>
        <v>0</v>
      </c>
      <c r="G21" s="75">
        <f t="shared" si="6"/>
        <v>0</v>
      </c>
      <c r="H21" s="75">
        <f t="shared" si="6"/>
        <v>20576614</v>
      </c>
      <c r="I21" s="75">
        <f t="shared" si="6"/>
        <v>20576614</v>
      </c>
      <c r="J21" s="75">
        <f t="shared" si="6"/>
        <v>9967237.3799999952</v>
      </c>
      <c r="K21" s="75">
        <f t="shared" si="6"/>
        <v>-7889517.7819998264</v>
      </c>
      <c r="L21" s="76">
        <f t="shared" si="6"/>
        <v>32006779.698899865</v>
      </c>
      <c r="M21" s="127"/>
    </row>
    <row r="22" spans="1:13" ht="12.75" customHeight="1">
      <c r="A22" s="655" t="s">
        <v>607</v>
      </c>
      <c r="B22" s="75">
        <f>'B4-FinPerf RE'!C41</f>
        <v>80317120</v>
      </c>
      <c r="C22" s="75">
        <f>'B4-FinPerf RE'!D41</f>
        <v>0</v>
      </c>
      <c r="D22" s="75">
        <f>'B4-FinPerf RE'!E41</f>
        <v>0</v>
      </c>
      <c r="E22" s="75">
        <f>'B4-FinPerf RE'!F41</f>
        <v>0</v>
      </c>
      <c r="F22" s="75">
        <f>'B4-FinPerf RE'!G41</f>
        <v>0</v>
      </c>
      <c r="G22" s="75">
        <f>'B4-FinPerf RE'!H41</f>
        <v>20350000</v>
      </c>
      <c r="H22" s="75">
        <f>'B4-FinPerf RE'!I41</f>
        <v>0</v>
      </c>
      <c r="I22" s="75">
        <f>SUM(D22:H22)</f>
        <v>20350000</v>
      </c>
      <c r="J22" s="75">
        <f>IF(C22=0,B22+I22,C22+I22)</f>
        <v>100667120</v>
      </c>
      <c r="K22" s="75">
        <f>'B4-FinPerf RE'!L41</f>
        <v>88664960</v>
      </c>
      <c r="L22" s="76">
        <f>'B4-FinPerf RE'!M41</f>
        <v>95512640</v>
      </c>
      <c r="M22" s="127"/>
    </row>
    <row r="23" spans="1:13" ht="12.75" customHeight="1">
      <c r="A23" s="655" t="s">
        <v>170</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7"/>
    </row>
    <row r="24" spans="1:13" ht="25.5">
      <c r="A24" s="40" t="s">
        <v>609</v>
      </c>
      <c r="B24" s="702">
        <f t="shared" ref="B24:L24" si="7">B21+SUM(B22:B23)</f>
        <v>69707743.379999995</v>
      </c>
      <c r="C24" s="659">
        <f t="shared" si="7"/>
        <v>0</v>
      </c>
      <c r="D24" s="659">
        <f t="shared" si="7"/>
        <v>0</v>
      </c>
      <c r="E24" s="659">
        <f t="shared" si="7"/>
        <v>0</v>
      </c>
      <c r="F24" s="659">
        <f t="shared" si="7"/>
        <v>0</v>
      </c>
      <c r="G24" s="659">
        <f t="shared" si="7"/>
        <v>20350000</v>
      </c>
      <c r="H24" s="659">
        <f t="shared" si="7"/>
        <v>20576614</v>
      </c>
      <c r="I24" s="659">
        <f>SUM(D24:H24)</f>
        <v>40926614</v>
      </c>
      <c r="J24" s="659">
        <f>IF(C24=0,B24+I24,C24+I24)</f>
        <v>110634357.38</v>
      </c>
      <c r="K24" s="659">
        <f t="shared" si="7"/>
        <v>80775442.218000174</v>
      </c>
      <c r="L24" s="660">
        <f t="shared" si="7"/>
        <v>127519419.69889987</v>
      </c>
      <c r="M24" s="127"/>
    </row>
    <row r="25" spans="1:13" ht="12.75" customHeight="1">
      <c r="A25" s="41" t="s">
        <v>610</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7"/>
    </row>
    <row r="26" spans="1:13" ht="12.75" customHeight="1">
      <c r="A26" s="38" t="s">
        <v>611</v>
      </c>
      <c r="B26" s="702">
        <f t="shared" ref="B26:L26" si="8">B24+B25</f>
        <v>69707743.379999995</v>
      </c>
      <c r="C26" s="659">
        <f t="shared" si="8"/>
        <v>0</v>
      </c>
      <c r="D26" s="659">
        <f t="shared" si="8"/>
        <v>0</v>
      </c>
      <c r="E26" s="659">
        <f t="shared" si="8"/>
        <v>0</v>
      </c>
      <c r="F26" s="659">
        <f t="shared" si="8"/>
        <v>0</v>
      </c>
      <c r="G26" s="659">
        <f t="shared" si="8"/>
        <v>20350000</v>
      </c>
      <c r="H26" s="659">
        <f t="shared" si="8"/>
        <v>20576614</v>
      </c>
      <c r="I26" s="659">
        <f t="shared" si="8"/>
        <v>40926614</v>
      </c>
      <c r="J26" s="659">
        <f t="shared" si="8"/>
        <v>110634357.38</v>
      </c>
      <c r="K26" s="659">
        <f t="shared" si="8"/>
        <v>80775442.218000174</v>
      </c>
      <c r="L26" s="660">
        <f t="shared" si="8"/>
        <v>127519419.69889987</v>
      </c>
      <c r="M26" s="127"/>
    </row>
    <row r="27" spans="1:13" ht="5.0999999999999996" customHeight="1">
      <c r="A27" s="42"/>
      <c r="B27" s="43"/>
      <c r="C27" s="44"/>
      <c r="D27" s="44"/>
      <c r="E27" s="44"/>
      <c r="F27" s="44"/>
      <c r="G27" s="44"/>
      <c r="H27" s="44"/>
      <c r="I27" s="44"/>
      <c r="J27" s="44"/>
      <c r="K27" s="45"/>
      <c r="L27" s="46"/>
      <c r="M27" s="127"/>
    </row>
    <row r="28" spans="1:13" ht="12.75" customHeight="1">
      <c r="A28" s="25" t="s">
        <v>612</v>
      </c>
      <c r="B28" s="47"/>
      <c r="C28" s="27"/>
      <c r="D28" s="27"/>
      <c r="E28" s="27"/>
      <c r="F28" s="27"/>
      <c r="G28" s="27"/>
      <c r="H28" s="27"/>
      <c r="I28" s="27"/>
      <c r="J28" s="27"/>
      <c r="K28" s="28"/>
      <c r="L28" s="29"/>
      <c r="M28" s="127"/>
    </row>
    <row r="29" spans="1:13" ht="12.75" customHeight="1">
      <c r="A29" s="51" t="s">
        <v>613</v>
      </c>
      <c r="B29" s="75">
        <f>'B5-Capex'!C42</f>
        <v>165629847</v>
      </c>
      <c r="C29" s="75">
        <f>'B5-Capex'!D42</f>
        <v>0</v>
      </c>
      <c r="D29" s="75">
        <f>'B5-Capex'!E42</f>
        <v>0</v>
      </c>
      <c r="E29" s="75">
        <f>'B5-Capex'!F42</f>
        <v>0</v>
      </c>
      <c r="F29" s="75">
        <f>'B5-Capex'!G42</f>
        <v>0</v>
      </c>
      <c r="G29" s="75">
        <f>'B5-Capex'!H42</f>
        <v>20350000</v>
      </c>
      <c r="H29" s="75">
        <f>'B5-Capex'!I42</f>
        <v>31502614</v>
      </c>
      <c r="I29" s="75">
        <f>SUM(D29:H29)</f>
        <v>51852614</v>
      </c>
      <c r="J29" s="75">
        <f>IF(C29=0,B29+I29,C29+I29)</f>
        <v>217482461</v>
      </c>
      <c r="K29" s="75">
        <f>'B5-Capex'!L42</f>
        <v>167012676</v>
      </c>
      <c r="L29" s="76">
        <f>'B5-Capex'!M42</f>
        <v>215752848</v>
      </c>
      <c r="M29" s="127"/>
    </row>
    <row r="30" spans="1:13" ht="12.75" customHeight="1">
      <c r="A30" s="30" t="s">
        <v>607</v>
      </c>
      <c r="B30" s="75">
        <f>'B5-Capex'!C72</f>
        <v>80317120</v>
      </c>
      <c r="C30" s="75">
        <f>'B5-Capex'!D72</f>
        <v>0</v>
      </c>
      <c r="D30" s="75">
        <f>'B5-Capex'!E72</f>
        <v>0</v>
      </c>
      <c r="E30" s="75">
        <f>'B5-Capex'!F72</f>
        <v>0</v>
      </c>
      <c r="F30" s="75">
        <f>'B5-Capex'!G72</f>
        <v>0</v>
      </c>
      <c r="G30" s="75">
        <f>'B5-Capex'!H72</f>
        <v>20350000</v>
      </c>
      <c r="H30" s="75">
        <f>'B5-Capex'!I72</f>
        <v>5700000</v>
      </c>
      <c r="I30" s="75">
        <f>SUM(D30:H30)</f>
        <v>26050000</v>
      </c>
      <c r="J30" s="75">
        <f>IF(C30=0,B30+I30,C30+I30)</f>
        <v>106367120</v>
      </c>
      <c r="K30" s="75">
        <f>'B5-Capex'!L72</f>
        <v>88664960</v>
      </c>
      <c r="L30" s="76">
        <f>'B5-Capex'!M72</f>
        <v>95512640</v>
      </c>
      <c r="M30" s="127"/>
    </row>
    <row r="31" spans="1:13" ht="12.75" customHeight="1">
      <c r="A31" s="30" t="s">
        <v>614</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7"/>
    </row>
    <row r="32" spans="1:13" ht="12.75" customHeight="1">
      <c r="A32" s="30" t="s">
        <v>615</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7"/>
    </row>
    <row r="33" spans="1:13" ht="12.75" customHeight="1">
      <c r="A33" s="30" t="s">
        <v>616</v>
      </c>
      <c r="B33" s="75">
        <f>'B5-Capex'!C75</f>
        <v>85312727</v>
      </c>
      <c r="C33" s="75">
        <f>'B5-Capex'!D75</f>
        <v>0</v>
      </c>
      <c r="D33" s="75">
        <f>'B5-Capex'!E75</f>
        <v>0</v>
      </c>
      <c r="E33" s="75">
        <f>'B5-Capex'!F75</f>
        <v>0</v>
      </c>
      <c r="F33" s="75">
        <f>'B5-Capex'!G75</f>
        <v>0</v>
      </c>
      <c r="G33" s="75">
        <f>'B5-Capex'!H75</f>
        <v>0</v>
      </c>
      <c r="H33" s="75">
        <f>'B5-Capex'!I75</f>
        <v>25802614</v>
      </c>
      <c r="I33" s="75">
        <f>SUM(D33:H33)</f>
        <v>25802614</v>
      </c>
      <c r="J33" s="75">
        <f>IF(C33=0,B33+I33,C33+I33)</f>
        <v>111115341</v>
      </c>
      <c r="K33" s="75">
        <f>'B5-Capex'!L75</f>
        <v>78347716</v>
      </c>
      <c r="L33" s="76">
        <f>'B5-Capex'!M75</f>
        <v>120740208</v>
      </c>
      <c r="M33" s="127"/>
    </row>
    <row r="34" spans="1:13" s="48" customFormat="1" ht="12.75" customHeight="1">
      <c r="A34" s="51" t="s">
        <v>617</v>
      </c>
      <c r="B34" s="140">
        <f t="shared" ref="B34:L34" si="9">SUM(B30:B33)</f>
        <v>165629847</v>
      </c>
      <c r="C34" s="140">
        <f t="shared" si="9"/>
        <v>0</v>
      </c>
      <c r="D34" s="140">
        <f t="shared" si="9"/>
        <v>0</v>
      </c>
      <c r="E34" s="140">
        <f t="shared" si="9"/>
        <v>0</v>
      </c>
      <c r="F34" s="140">
        <f t="shared" si="9"/>
        <v>0</v>
      </c>
      <c r="G34" s="140">
        <f t="shared" si="9"/>
        <v>20350000</v>
      </c>
      <c r="H34" s="140">
        <f t="shared" si="9"/>
        <v>31502614</v>
      </c>
      <c r="I34" s="140">
        <f t="shared" si="9"/>
        <v>51852614</v>
      </c>
      <c r="J34" s="140">
        <f t="shared" si="9"/>
        <v>217482461</v>
      </c>
      <c r="K34" s="140">
        <f t="shared" si="9"/>
        <v>167012676</v>
      </c>
      <c r="L34" s="141">
        <f t="shared" si="9"/>
        <v>216252848</v>
      </c>
      <c r="M34" s="349"/>
    </row>
    <row r="35" spans="1:13" ht="5.0999999999999996" customHeight="1">
      <c r="A35" s="49"/>
      <c r="B35" s="43"/>
      <c r="C35" s="44"/>
      <c r="D35" s="44"/>
      <c r="E35" s="44"/>
      <c r="F35" s="44"/>
      <c r="G35" s="44"/>
      <c r="H35" s="44"/>
      <c r="I35" s="44"/>
      <c r="J35" s="44"/>
      <c r="K35" s="45"/>
      <c r="L35" s="46"/>
      <c r="M35" s="127"/>
    </row>
    <row r="36" spans="1:13" ht="12.75" customHeight="1">
      <c r="A36" s="25" t="s">
        <v>618</v>
      </c>
      <c r="B36" s="47"/>
      <c r="C36" s="27"/>
      <c r="D36" s="27"/>
      <c r="E36" s="27"/>
      <c r="F36" s="27"/>
      <c r="G36" s="27"/>
      <c r="H36" s="27"/>
      <c r="I36" s="27"/>
      <c r="J36" s="27"/>
      <c r="K36" s="28"/>
      <c r="L36" s="29"/>
      <c r="M36" s="127"/>
    </row>
    <row r="37" spans="1:13" ht="12.75" customHeight="1">
      <c r="A37" s="30" t="s">
        <v>619</v>
      </c>
      <c r="B37" s="75">
        <f>'B6-FinPos'!C14</f>
        <v>176990298</v>
      </c>
      <c r="C37" s="75">
        <f>'B6-FinPos'!D14</f>
        <v>0</v>
      </c>
      <c r="D37" s="75">
        <f>'B6-FinPos'!E14</f>
        <v>0</v>
      </c>
      <c r="E37" s="75">
        <f>'B6-FinPos'!F14</f>
        <v>0</v>
      </c>
      <c r="F37" s="75">
        <f>'B6-FinPos'!G14</f>
        <v>0</v>
      </c>
      <c r="G37" s="75">
        <f>'B6-FinPos'!H14</f>
        <v>0</v>
      </c>
      <c r="H37" s="75">
        <f>'B6-FinPos'!I14</f>
        <v>-12342983</v>
      </c>
      <c r="I37" s="75">
        <f>SUM(D37:H37)</f>
        <v>-12342983</v>
      </c>
      <c r="J37" s="75">
        <f>IF(C37=0,B37+I37,C37+I37)</f>
        <v>164647315</v>
      </c>
      <c r="K37" s="75">
        <f>'B6-FinPos'!L14</f>
        <v>162910353</v>
      </c>
      <c r="L37" s="76">
        <f>'B6-FinPos'!M14</f>
        <v>162668209</v>
      </c>
      <c r="M37" s="127"/>
    </row>
    <row r="38" spans="1:13" ht="12.75" customHeight="1">
      <c r="A38" s="30" t="s">
        <v>620</v>
      </c>
      <c r="B38" s="75">
        <f>'B6-FinPos'!C26</f>
        <v>1996608842</v>
      </c>
      <c r="C38" s="75">
        <f>'B6-FinPos'!D26</f>
        <v>0</v>
      </c>
      <c r="D38" s="75">
        <f>'B6-FinPos'!E26</f>
        <v>0</v>
      </c>
      <c r="E38" s="75">
        <f>'B6-FinPos'!F26</f>
        <v>0</v>
      </c>
      <c r="F38" s="75">
        <f>'B6-FinPos'!G26</f>
        <v>0</v>
      </c>
      <c r="G38" s="75">
        <f>'B6-FinPos'!H26</f>
        <v>20350000</v>
      </c>
      <c r="H38" s="75">
        <f>'B6-FinPos'!I26</f>
        <v>31502614</v>
      </c>
      <c r="I38" s="75">
        <f>SUM(D38:H38)</f>
        <v>51852614</v>
      </c>
      <c r="J38" s="75">
        <f>IF(C38=0,B38+I38,C38+I38)</f>
        <v>2048461456</v>
      </c>
      <c r="K38" s="75">
        <f>'B6-FinPos'!L26</f>
        <v>2169196518</v>
      </c>
      <c r="L38" s="76">
        <f>'B6-FinPos'!M26</f>
        <v>2391021865</v>
      </c>
      <c r="M38" s="127"/>
    </row>
    <row r="39" spans="1:13" ht="12.75" customHeight="1">
      <c r="A39" s="30" t="s">
        <v>621</v>
      </c>
      <c r="B39" s="75">
        <f>'B6-FinPos'!C36</f>
        <v>172795467</v>
      </c>
      <c r="C39" s="75">
        <f>'B6-FinPos'!D36</f>
        <v>0</v>
      </c>
      <c r="D39" s="75">
        <f>'B6-FinPos'!E36</f>
        <v>0</v>
      </c>
      <c r="E39" s="75">
        <f>'B6-FinPos'!F36</f>
        <v>0</v>
      </c>
      <c r="F39" s="75">
        <f>'B6-FinPos'!G36</f>
        <v>0</v>
      </c>
      <c r="G39" s="75">
        <f>'B6-FinPos'!H36</f>
        <v>0</v>
      </c>
      <c r="H39" s="75">
        <f>'B6-FinPos'!I36</f>
        <v>20969000</v>
      </c>
      <c r="I39" s="75">
        <f>SUM(D39:H39)</f>
        <v>20969000</v>
      </c>
      <c r="J39" s="75">
        <f>IF(C39=0,B39+I39,C39+I39)</f>
        <v>193764467</v>
      </c>
      <c r="K39" s="75">
        <f>'B6-FinPos'!L36</f>
        <v>198675975</v>
      </c>
      <c r="L39" s="76">
        <f>'B6-FinPos'!M36</f>
        <v>203910654</v>
      </c>
      <c r="M39" s="127"/>
    </row>
    <row r="40" spans="1:13" ht="12.75" customHeight="1">
      <c r="A40" s="30" t="s">
        <v>622</v>
      </c>
      <c r="B40" s="75">
        <f>'B6-FinPos'!C41</f>
        <v>183726189</v>
      </c>
      <c r="C40" s="75">
        <f>'B6-FinPos'!D41</f>
        <v>0</v>
      </c>
      <c r="D40" s="75">
        <f>'B6-FinPos'!E41</f>
        <v>0</v>
      </c>
      <c r="E40" s="75">
        <f>'B6-FinPos'!F41</f>
        <v>0</v>
      </c>
      <c r="F40" s="75">
        <f>'B6-FinPos'!G41</f>
        <v>0</v>
      </c>
      <c r="G40" s="75">
        <f>'B6-FinPos'!H41</f>
        <v>0</v>
      </c>
      <c r="H40" s="75">
        <f>'B6-FinPos'!I41</f>
        <v>0</v>
      </c>
      <c r="I40" s="75">
        <f>SUM(D40:H40)</f>
        <v>0</v>
      </c>
      <c r="J40" s="75">
        <f>IF(C40=0,B40+I40,C40+I40)</f>
        <v>183726189</v>
      </c>
      <c r="K40" s="75">
        <f>'B6-FinPos'!L41</f>
        <v>174930159</v>
      </c>
      <c r="L40" s="76">
        <f>'B6-FinPos'!M41</f>
        <v>165335477</v>
      </c>
      <c r="M40" s="127"/>
    </row>
    <row r="41" spans="1:13" ht="12.75" customHeight="1">
      <c r="A41" s="51" t="s">
        <v>1296</v>
      </c>
      <c r="B41" s="140">
        <f>'B6-FinPos'!C49</f>
        <v>1817077484</v>
      </c>
      <c r="C41" s="140">
        <f>'B6-FinPos'!D49</f>
        <v>0</v>
      </c>
      <c r="D41" s="140">
        <f>'B6-FinPos'!E49</f>
        <v>0</v>
      </c>
      <c r="E41" s="140">
        <f>'B6-FinPos'!F49</f>
        <v>0</v>
      </c>
      <c r="F41" s="140">
        <f>'B6-FinPos'!G49</f>
        <v>0</v>
      </c>
      <c r="G41" s="140">
        <f>'B6-FinPos'!H49</f>
        <v>20350000</v>
      </c>
      <c r="H41" s="140">
        <f>'B6-FinPos'!I49</f>
        <v>-1809369</v>
      </c>
      <c r="I41" s="140">
        <f>SUM(D41:H41)</f>
        <v>18540631</v>
      </c>
      <c r="J41" s="140">
        <f>IF(C41=0,B41+I41,C41+I41)</f>
        <v>1835618115</v>
      </c>
      <c r="K41" s="140">
        <f>'B6-FinPos'!L49</f>
        <v>1958500737</v>
      </c>
      <c r="L41" s="141">
        <f>'B6-FinPos'!M49</f>
        <v>2209290508</v>
      </c>
      <c r="M41" s="127"/>
    </row>
    <row r="42" spans="1:13" ht="5.0999999999999996" customHeight="1">
      <c r="A42" s="42"/>
      <c r="B42" s="43"/>
      <c r="C42" s="44"/>
      <c r="D42" s="44"/>
      <c r="E42" s="44"/>
      <c r="F42" s="44"/>
      <c r="G42" s="44"/>
      <c r="H42" s="44"/>
      <c r="I42" s="44"/>
      <c r="J42" s="44"/>
      <c r="K42" s="45"/>
      <c r="L42" s="46"/>
      <c r="M42" s="127"/>
    </row>
    <row r="43" spans="1:13" ht="12.75" customHeight="1">
      <c r="A43" s="25" t="s">
        <v>623</v>
      </c>
      <c r="B43" s="47"/>
      <c r="C43" s="27"/>
      <c r="D43" s="27"/>
      <c r="E43" s="27"/>
      <c r="F43" s="27"/>
      <c r="G43" s="27"/>
      <c r="H43" s="27"/>
      <c r="I43" s="27"/>
      <c r="J43" s="27"/>
      <c r="K43" s="28"/>
      <c r="L43" s="29"/>
      <c r="M43" s="127"/>
    </row>
    <row r="44" spans="1:13" ht="12.75" customHeight="1">
      <c r="A44" s="30" t="s">
        <v>624</v>
      </c>
      <c r="B44" s="75">
        <f>'B7-CFlow'!C17</f>
        <v>83597311</v>
      </c>
      <c r="C44" s="75">
        <f>'B7-CFlow'!D17</f>
        <v>0</v>
      </c>
      <c r="D44" s="75">
        <f>'B7-CFlow'!E17</f>
        <v>0</v>
      </c>
      <c r="E44" s="75">
        <f>'B7-CFlow'!F17</f>
        <v>0</v>
      </c>
      <c r="F44" s="75">
        <f>'B7-CFlow'!G17</f>
        <v>0</v>
      </c>
      <c r="G44" s="75">
        <f>'B7-CFlow'!H17</f>
        <v>20350000</v>
      </c>
      <c r="H44" s="75">
        <f>'B7-CFlow'!I17</f>
        <v>104893579</v>
      </c>
      <c r="I44" s="75">
        <f>SUM(D44:H44)</f>
        <v>125243579</v>
      </c>
      <c r="J44" s="75">
        <f>IF(C44=0,B44+I44,C44+I44)</f>
        <v>208840890</v>
      </c>
      <c r="K44" s="75">
        <f>'B7-CFlow'!L17</f>
        <v>180717340.61000001</v>
      </c>
      <c r="L44" s="76">
        <f>'B7-CFlow'!M17</f>
        <v>232458368.27999997</v>
      </c>
      <c r="M44" s="127"/>
    </row>
    <row r="45" spans="1:13" ht="12.75" customHeight="1">
      <c r="A45" s="30" t="s">
        <v>625</v>
      </c>
      <c r="B45" s="75">
        <f>'B7-CFlow'!C27</f>
        <v>-84112727</v>
      </c>
      <c r="C45" s="75">
        <f>'B7-CFlow'!D27</f>
        <v>0</v>
      </c>
      <c r="D45" s="75">
        <f>'B7-CFlow'!E27</f>
        <v>0</v>
      </c>
      <c r="E45" s="75">
        <f>'B7-CFlow'!F27</f>
        <v>0</v>
      </c>
      <c r="F45" s="75">
        <f>'B7-CFlow'!G27</f>
        <v>0</v>
      </c>
      <c r="G45" s="75">
        <f>'B7-CFlow'!H27</f>
        <v>-20350000</v>
      </c>
      <c r="H45" s="75">
        <f>'B7-CFlow'!I27</f>
        <v>-105112100</v>
      </c>
      <c r="I45" s="75">
        <f>SUM(D45:H45)</f>
        <v>-125462100</v>
      </c>
      <c r="J45" s="75">
        <f>IF(C45=0,B45+I45,C45+I45)</f>
        <v>-209574827</v>
      </c>
      <c r="K45" s="75">
        <f>'B7-CFlow'!L27</f>
        <v>-169314697</v>
      </c>
      <c r="L45" s="76">
        <f>'B7-CFlow'!M27</f>
        <v>-219321925</v>
      </c>
      <c r="M45" s="127"/>
    </row>
    <row r="46" spans="1:13" ht="12.75" customHeight="1">
      <c r="A46" s="30" t="s">
        <v>626</v>
      </c>
      <c r="B46" s="75">
        <f>'B7-CFlow'!C36</f>
        <v>-10141601</v>
      </c>
      <c r="C46" s="75">
        <f>'B7-CFlow'!D36</f>
        <v>0</v>
      </c>
      <c r="D46" s="75">
        <f>'B7-CFlow'!E36</f>
        <v>0</v>
      </c>
      <c r="E46" s="75">
        <f>'B7-CFlow'!F36</f>
        <v>0</v>
      </c>
      <c r="F46" s="75">
        <f>'B7-CFlow'!G36</f>
        <v>0</v>
      </c>
      <c r="G46" s="75">
        <f>'B7-CFlow'!H36</f>
        <v>0</v>
      </c>
      <c r="H46" s="75">
        <f>'B7-CFlow'!I36</f>
        <v>0</v>
      </c>
      <c r="I46" s="75">
        <f>SUM(D46:H46)</f>
        <v>0</v>
      </c>
      <c r="J46" s="75">
        <f>IF(C46=0,B46+I46,C46+I46)</f>
        <v>-10141601</v>
      </c>
      <c r="K46" s="75">
        <f>'B7-CFlow'!L36</f>
        <v>-11402893</v>
      </c>
      <c r="L46" s="76">
        <f>'B7-CFlow'!M36</f>
        <v>-12223141</v>
      </c>
      <c r="M46" s="127"/>
    </row>
    <row r="47" spans="1:13" ht="12.75" customHeight="1">
      <c r="A47" s="51" t="s">
        <v>627</v>
      </c>
      <c r="B47" s="140">
        <f>'B7-CFlow'!C40</f>
        <v>12342983</v>
      </c>
      <c r="C47" s="140">
        <f>'B7-CFlow'!D40</f>
        <v>0</v>
      </c>
      <c r="D47" s="140">
        <f>'B7-CFlow'!E40</f>
        <v>0</v>
      </c>
      <c r="E47" s="140">
        <f>'B7-CFlow'!F40</f>
        <v>0</v>
      </c>
      <c r="F47" s="140">
        <f>'B7-CFlow'!G40</f>
        <v>0</v>
      </c>
      <c r="G47" s="140">
        <f>'B7-CFlow'!H40</f>
        <v>0</v>
      </c>
      <c r="H47" s="140">
        <f>'B7-CFlow'!I40</f>
        <v>-12342521</v>
      </c>
      <c r="I47" s="140">
        <f>SUM(D47:H47)</f>
        <v>-12342521</v>
      </c>
      <c r="J47" s="140">
        <f>IF(C47=0,B47+I47,C47+I47)</f>
        <v>462</v>
      </c>
      <c r="K47" s="140">
        <f>'B7-CFlow'!L40</f>
        <v>-249.38999998569489</v>
      </c>
      <c r="L47" s="141">
        <f>'B7-CFlow'!M40</f>
        <v>913302.27999997139</v>
      </c>
      <c r="M47" s="127"/>
    </row>
    <row r="48" spans="1:13" ht="5.0999999999999996" customHeight="1">
      <c r="A48" s="42"/>
      <c r="B48" s="43"/>
      <c r="C48" s="44"/>
      <c r="D48" s="44"/>
      <c r="E48" s="44"/>
      <c r="F48" s="44"/>
      <c r="G48" s="44"/>
      <c r="H48" s="44"/>
      <c r="I48" s="44"/>
      <c r="J48" s="44"/>
      <c r="K48" s="45"/>
      <c r="L48" s="46"/>
      <c r="M48" s="127"/>
    </row>
    <row r="49" spans="1:16" ht="12.75" customHeight="1">
      <c r="A49" s="52" t="s">
        <v>628</v>
      </c>
      <c r="B49" s="31"/>
      <c r="C49" s="32"/>
      <c r="D49" s="32"/>
      <c r="E49" s="32"/>
      <c r="F49" s="32"/>
      <c r="G49" s="32"/>
      <c r="H49" s="32"/>
      <c r="I49" s="32"/>
      <c r="J49" s="32"/>
      <c r="K49" s="33"/>
      <c r="L49" s="34"/>
      <c r="M49" s="127"/>
    </row>
    <row r="50" spans="1:16" ht="12.75" customHeight="1">
      <c r="A50" s="30" t="s">
        <v>629</v>
      </c>
      <c r="B50" s="75">
        <f>'B8-ResRecon'!C10</f>
        <v>18238579</v>
      </c>
      <c r="C50" s="75">
        <f>'B8-ResRecon'!D10</f>
        <v>0</v>
      </c>
      <c r="D50" s="75">
        <f>'B8-ResRecon'!E10</f>
        <v>0</v>
      </c>
      <c r="E50" s="75">
        <f>'B8-ResRecon'!F10</f>
        <v>0</v>
      </c>
      <c r="F50" s="75">
        <f>'B8-ResRecon'!G10</f>
        <v>0</v>
      </c>
      <c r="G50" s="75">
        <f>'B8-ResRecon'!H10</f>
        <v>0</v>
      </c>
      <c r="H50" s="75">
        <f>'B8-ResRecon'!I10</f>
        <v>-12342983</v>
      </c>
      <c r="I50" s="75">
        <f>SUM(D50:H50)</f>
        <v>-12342983</v>
      </c>
      <c r="J50" s="75">
        <f>IF(C50=0,B50+I50,C50+I50)</f>
        <v>5895596</v>
      </c>
      <c r="K50" s="75">
        <f>'B8-ResRecon'!L10</f>
        <v>6995596</v>
      </c>
      <c r="L50" s="76">
        <f>'B8-ResRecon'!M10</f>
        <v>9008596</v>
      </c>
      <c r="M50" s="127"/>
    </row>
    <row r="51" spans="1:16" ht="12.75" customHeight="1">
      <c r="A51" s="30" t="s">
        <v>630</v>
      </c>
      <c r="B51" s="75">
        <f>'B8-ResRecon'!C20</f>
        <v>-148310238</v>
      </c>
      <c r="C51" s="75">
        <f>'B8-ResRecon'!D20</f>
        <v>0</v>
      </c>
      <c r="D51" s="75">
        <f>'B8-ResRecon'!E20</f>
        <v>0</v>
      </c>
      <c r="E51" s="75">
        <f>'B8-ResRecon'!F20</f>
        <v>0</v>
      </c>
      <c r="F51" s="75">
        <f>'B8-ResRecon'!G20</f>
        <v>0</v>
      </c>
      <c r="G51" s="75">
        <f>'B8-ResRecon'!H20</f>
        <v>0</v>
      </c>
      <c r="H51" s="75">
        <f>'B8-ResRecon'!I20</f>
        <v>128742378</v>
      </c>
      <c r="I51" s="75">
        <f>SUM(D51:H51)</f>
        <v>128742378</v>
      </c>
      <c r="J51" s="75">
        <f>IF(C51=0,B51+I51,C51+I51)</f>
        <v>-19567860</v>
      </c>
      <c r="K51" s="75">
        <f>'B8-ResRecon'!L20</f>
        <v>-12909090</v>
      </c>
      <c r="L51" s="76">
        <f>'B8-ResRecon'!M20</f>
        <v>-6467145</v>
      </c>
      <c r="M51" s="127"/>
    </row>
    <row r="52" spans="1:16" ht="12.75" customHeight="1">
      <c r="A52" s="51" t="s">
        <v>631</v>
      </c>
      <c r="B52" s="140">
        <f t="shared" ref="B52:L52" si="10">B50-B51</f>
        <v>166548817</v>
      </c>
      <c r="C52" s="140">
        <f t="shared" si="10"/>
        <v>0</v>
      </c>
      <c r="D52" s="140">
        <f t="shared" si="10"/>
        <v>0</v>
      </c>
      <c r="E52" s="140">
        <f t="shared" si="10"/>
        <v>0</v>
      </c>
      <c r="F52" s="140">
        <f t="shared" si="10"/>
        <v>0</v>
      </c>
      <c r="G52" s="140">
        <f t="shared" si="10"/>
        <v>0</v>
      </c>
      <c r="H52" s="140">
        <f t="shared" si="10"/>
        <v>-141085361</v>
      </c>
      <c r="I52" s="140">
        <f t="shared" si="10"/>
        <v>-141085361</v>
      </c>
      <c r="J52" s="140">
        <f t="shared" si="10"/>
        <v>25463456</v>
      </c>
      <c r="K52" s="140">
        <f t="shared" si="10"/>
        <v>19904686</v>
      </c>
      <c r="L52" s="141">
        <f t="shared" si="10"/>
        <v>15475741</v>
      </c>
      <c r="M52" s="127"/>
    </row>
    <row r="53" spans="1:16" ht="5.0999999999999996" customHeight="1">
      <c r="A53" s="42"/>
      <c r="B53" s="43"/>
      <c r="C53" s="44"/>
      <c r="D53" s="44"/>
      <c r="E53" s="44"/>
      <c r="F53" s="44"/>
      <c r="G53" s="44"/>
      <c r="H53" s="44"/>
      <c r="I53" s="44"/>
      <c r="J53" s="44"/>
      <c r="K53" s="45"/>
      <c r="L53" s="46"/>
      <c r="M53" s="127"/>
    </row>
    <row r="54" spans="1:16" ht="12.75" customHeight="1">
      <c r="A54" s="52" t="s">
        <v>632</v>
      </c>
      <c r="B54" s="31"/>
      <c r="C54" s="32"/>
      <c r="D54" s="32"/>
      <c r="E54" s="32"/>
      <c r="F54" s="32"/>
      <c r="G54" s="32"/>
      <c r="H54" s="32"/>
      <c r="I54" s="32"/>
      <c r="J54" s="27"/>
      <c r="K54" s="33"/>
      <c r="L54" s="34"/>
      <c r="M54" s="127"/>
    </row>
    <row r="55" spans="1:16" ht="12.75" customHeight="1">
      <c r="A55" s="30" t="s">
        <v>633</v>
      </c>
      <c r="B55" s="75">
        <f>'B9-Asset'!C67</f>
        <v>1782104454</v>
      </c>
      <c r="C55" s="75">
        <f>'B9-Asset'!D67</f>
        <v>0</v>
      </c>
      <c r="D55" s="75">
        <f>'B9-Asset'!E67</f>
        <v>0</v>
      </c>
      <c r="E55" s="75">
        <f>'B9-Asset'!F67</f>
        <v>0</v>
      </c>
      <c r="F55" s="75">
        <f>'B9-Asset'!G67</f>
        <v>0</v>
      </c>
      <c r="G55" s="75">
        <f>'B9-Asset'!H67</f>
        <v>20350000</v>
      </c>
      <c r="H55" s="75">
        <f>'B9-Asset'!I67</f>
        <v>31502614</v>
      </c>
      <c r="I55" s="75">
        <f>SUM(D55:H55)</f>
        <v>51852614</v>
      </c>
      <c r="J55" s="75">
        <f>IF(C55=0,B55+I55,C55+I55)</f>
        <v>1833957068</v>
      </c>
      <c r="K55" s="75">
        <f>'B9-Asset'!L67</f>
        <v>1953592130</v>
      </c>
      <c r="L55" s="76">
        <f>'B9-Asset'!M67</f>
        <v>2174317477</v>
      </c>
      <c r="M55" s="127"/>
    </row>
    <row r="56" spans="1:16" ht="12.75" customHeight="1">
      <c r="A56" s="30" t="s">
        <v>600</v>
      </c>
      <c r="B56" s="171">
        <f>'B9-Asset'!C70</f>
        <v>110726401</v>
      </c>
      <c r="C56" s="75">
        <f>'B9-Asset'!D70</f>
        <v>0</v>
      </c>
      <c r="D56" s="75">
        <f>'B9-Asset'!E70</f>
        <v>0</v>
      </c>
      <c r="E56" s="75">
        <f>'B9-Asset'!F70</f>
        <v>0</v>
      </c>
      <c r="F56" s="75">
        <f>'B9-Asset'!G70</f>
        <v>0</v>
      </c>
      <c r="G56" s="75">
        <f>'B9-Asset'!H70</f>
        <v>0</v>
      </c>
      <c r="H56" s="75">
        <f>'B9-Asset'!I70</f>
        <v>0</v>
      </c>
      <c r="I56" s="75">
        <f>SUM(D56:H56)</f>
        <v>0</v>
      </c>
      <c r="J56" s="75">
        <f>IF(C56=0,B56+I56,C56+I56)</f>
        <v>110726401</v>
      </c>
      <c r="K56" s="75">
        <f>'B9-Asset'!L70</f>
        <v>127384502</v>
      </c>
      <c r="L56" s="76">
        <f>'B9-Asset'!M70</f>
        <v>135825133</v>
      </c>
      <c r="M56" s="127"/>
    </row>
    <row r="57" spans="1:16" ht="12.75" customHeight="1">
      <c r="A57" s="30" t="s">
        <v>634</v>
      </c>
      <c r="B57" s="75">
        <f>'B9-Asset'!C22</f>
        <v>13300000</v>
      </c>
      <c r="C57" s="75">
        <f>'B9-Asset'!D22</f>
        <v>0</v>
      </c>
      <c r="D57" s="75">
        <f>'B9-Asset'!E22</f>
        <v>0</v>
      </c>
      <c r="E57" s="75">
        <f>'B9-Asset'!F22</f>
        <v>0</v>
      </c>
      <c r="F57" s="75">
        <f>'B9-Asset'!G22</f>
        <v>0</v>
      </c>
      <c r="G57" s="75">
        <f>'B9-Asset'!H22</f>
        <v>0</v>
      </c>
      <c r="H57" s="75">
        <f>'B9-Asset'!I22</f>
        <v>-8276140</v>
      </c>
      <c r="I57" s="75">
        <f>SUM(D57:H57)</f>
        <v>-8276140</v>
      </c>
      <c r="J57" s="75">
        <f>IF(C57=0,B57+I57,C57+I57)</f>
        <v>5023860</v>
      </c>
      <c r="K57" s="75">
        <f>'B9-Asset'!L22</f>
        <v>13951700</v>
      </c>
      <c r="L57" s="76">
        <f>'B9-Asset'!M22</f>
        <v>14635334</v>
      </c>
      <c r="M57" s="127"/>
    </row>
    <row r="58" spans="1:16" ht="12.75" customHeight="1">
      <c r="A58" s="30" t="s">
        <v>635</v>
      </c>
      <c r="B58" s="75">
        <f>'B9-Asset'!C71</f>
        <v>100111875</v>
      </c>
      <c r="C58" s="75">
        <f>'B9-Asset'!D71</f>
        <v>0</v>
      </c>
      <c r="D58" s="75">
        <f>'B9-Asset'!E71</f>
        <v>0</v>
      </c>
      <c r="E58" s="75">
        <f>'B9-Asset'!F71</f>
        <v>0</v>
      </c>
      <c r="F58" s="75">
        <f>'B9-Asset'!G71</f>
        <v>0</v>
      </c>
      <c r="G58" s="75">
        <f>'B9-Asset'!H71</f>
        <v>0</v>
      </c>
      <c r="H58" s="75">
        <f>'B9-Asset'!I71</f>
        <v>0</v>
      </c>
      <c r="I58" s="75">
        <f>SUM(D58:H58)</f>
        <v>0</v>
      </c>
      <c r="J58" s="75">
        <f>IF(C58=0,B58+I58,C58+I58)</f>
        <v>100111875</v>
      </c>
      <c r="K58" s="75">
        <f>'B9-Asset'!L71</f>
        <v>105017357</v>
      </c>
      <c r="L58" s="76">
        <f>'B9-Asset'!M71</f>
        <v>110163207</v>
      </c>
      <c r="M58" s="127"/>
    </row>
    <row r="59" spans="1:16" ht="5.0999999999999996" customHeight="1">
      <c r="A59" s="42"/>
      <c r="B59" s="43"/>
      <c r="C59" s="44"/>
      <c r="D59" s="44"/>
      <c r="E59" s="44"/>
      <c r="F59" s="44"/>
      <c r="G59" s="44"/>
      <c r="H59" s="44"/>
      <c r="I59" s="44"/>
      <c r="J59" s="44"/>
      <c r="K59" s="45"/>
      <c r="L59" s="46"/>
      <c r="M59" s="127"/>
    </row>
    <row r="60" spans="1:16" ht="12.75" customHeight="1">
      <c r="A60" s="52" t="s">
        <v>1166</v>
      </c>
      <c r="B60" s="35"/>
      <c r="C60" s="32"/>
      <c r="D60" s="32"/>
      <c r="E60" s="32"/>
      <c r="F60" s="32"/>
      <c r="G60" s="32"/>
      <c r="H60" s="32"/>
      <c r="I60" s="32"/>
      <c r="J60" s="32"/>
      <c r="K60" s="33"/>
      <c r="L60" s="34"/>
      <c r="M60" s="566"/>
      <c r="N60" s="53"/>
      <c r="O60" s="53"/>
      <c r="P60" s="53"/>
    </row>
    <row r="61" spans="1:16" ht="12.75" customHeight="1">
      <c r="A61" s="30" t="s">
        <v>636</v>
      </c>
      <c r="B61" s="75">
        <f>'B10-SerDel'!C61</f>
        <v>411000</v>
      </c>
      <c r="C61" s="75">
        <f>'B10-SerDel'!D61</f>
        <v>0</v>
      </c>
      <c r="D61" s="75">
        <f>'B10-SerDel'!E61</f>
        <v>0</v>
      </c>
      <c r="E61" s="75">
        <f>'B10-SerDel'!F61</f>
        <v>0</v>
      </c>
      <c r="F61" s="75">
        <f>'B10-SerDel'!G61</f>
        <v>0</v>
      </c>
      <c r="G61" s="75">
        <f>'B10-SerDel'!H61</f>
        <v>0</v>
      </c>
      <c r="H61" s="75">
        <f>'B10-SerDel'!I61</f>
        <v>0</v>
      </c>
      <c r="I61" s="75">
        <f>'B10-SerDel'!J61</f>
        <v>0</v>
      </c>
      <c r="J61" s="75">
        <f>'B10-SerDel'!K61</f>
        <v>411000</v>
      </c>
      <c r="K61" s="75">
        <f>'B10-SerDel'!L61</f>
        <v>415000</v>
      </c>
      <c r="L61" s="76">
        <f>'B10-SerDel'!M61</f>
        <v>415000</v>
      </c>
      <c r="M61" s="127"/>
      <c r="N61" s="54"/>
      <c r="O61" s="54"/>
      <c r="P61" s="54"/>
    </row>
    <row r="62" spans="1:16" ht="12.75" customHeight="1">
      <c r="A62" s="36" t="s">
        <v>637</v>
      </c>
      <c r="B62" s="75">
        <f>'B10-SerDel'!C80</f>
        <v>8400</v>
      </c>
      <c r="C62" s="75">
        <f>'B10-SerDel'!D80</f>
        <v>0</v>
      </c>
      <c r="D62" s="75">
        <f>'B10-SerDel'!E80</f>
        <v>0</v>
      </c>
      <c r="E62" s="75">
        <f>'B10-SerDel'!F80</f>
        <v>0</v>
      </c>
      <c r="F62" s="75">
        <f>'B10-SerDel'!G80</f>
        <v>0</v>
      </c>
      <c r="G62" s="75">
        <f>'B10-SerDel'!H80</f>
        <v>0</v>
      </c>
      <c r="H62" s="75">
        <f>'B10-SerDel'!I80</f>
        <v>0</v>
      </c>
      <c r="I62" s="75">
        <f>'B10-SerDel'!J80</f>
        <v>0</v>
      </c>
      <c r="J62" s="75">
        <f>'B10-SerDel'!K80</f>
        <v>8400</v>
      </c>
      <c r="K62" s="75">
        <f>'B10-SerDel'!L80</f>
        <v>8400</v>
      </c>
      <c r="L62" s="76">
        <f>'B10-SerDel'!M80</f>
        <v>8400</v>
      </c>
      <c r="M62" s="872"/>
      <c r="N62" s="54"/>
      <c r="O62" s="54"/>
      <c r="P62" s="54"/>
    </row>
    <row r="63" spans="1:16" ht="12.75" customHeight="1">
      <c r="A63" s="867" t="s">
        <v>1165</v>
      </c>
      <c r="B63" s="35"/>
      <c r="C63" s="32"/>
      <c r="D63" s="32"/>
      <c r="E63" s="32"/>
      <c r="F63" s="32"/>
      <c r="G63" s="32"/>
      <c r="H63" s="32"/>
      <c r="I63" s="32"/>
      <c r="J63" s="32"/>
      <c r="K63" s="33"/>
      <c r="L63" s="34"/>
      <c r="M63" s="872"/>
      <c r="N63" s="54"/>
      <c r="O63" s="54"/>
      <c r="P63" s="54"/>
    </row>
    <row r="64" spans="1:16" ht="12.75" customHeight="1">
      <c r="A64" s="55" t="s">
        <v>638</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639</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640</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641</v>
      </c>
      <c r="B67" s="75">
        <f>'B10-SerDel'!C47</f>
        <v>100194</v>
      </c>
      <c r="C67" s="75">
        <f>'B10-SerDel'!D47</f>
        <v>0</v>
      </c>
      <c r="D67" s="75">
        <f>'B10-SerDel'!E47</f>
        <v>0</v>
      </c>
      <c r="E67" s="75">
        <f>'B10-SerDel'!F47</f>
        <v>0</v>
      </c>
      <c r="F67" s="75">
        <f>'B10-SerDel'!G47</f>
        <v>0</v>
      </c>
      <c r="G67" s="75">
        <f>'B10-SerDel'!H47</f>
        <v>0</v>
      </c>
      <c r="H67" s="75">
        <f>'B10-SerDel'!I47</f>
        <v>0</v>
      </c>
      <c r="I67" s="75">
        <f>SUM(D67:H67)</f>
        <v>0</v>
      </c>
      <c r="J67" s="75">
        <f>IF(C67=0,B67+I67,C67+I67)</f>
        <v>100194</v>
      </c>
      <c r="K67" s="75">
        <f>'B10-SerDel'!L47</f>
        <v>100194</v>
      </c>
      <c r="L67" s="76">
        <f>'B10-SerDel'!M47</f>
        <v>100194</v>
      </c>
      <c r="M67" s="53"/>
      <c r="N67" s="53"/>
      <c r="O67" s="53"/>
      <c r="P67" s="53"/>
    </row>
    <row r="68" spans="1:16" ht="5.0999999999999996" customHeight="1">
      <c r="A68" s="42"/>
      <c r="B68" s="56"/>
      <c r="C68" s="44"/>
      <c r="D68" s="44"/>
      <c r="E68" s="44"/>
      <c r="F68" s="44"/>
      <c r="G68" s="44"/>
      <c r="H68" s="44"/>
      <c r="I68" s="44"/>
      <c r="J68" s="44"/>
      <c r="K68" s="45"/>
      <c r="L68" s="46"/>
    </row>
    <row r="69" spans="1:16" ht="12.75" customHeight="1">
      <c r="A69" s="664" t="s">
        <v>549</v>
      </c>
    </row>
    <row r="70" spans="1:16">
      <c r="A70" s="1324" t="s">
        <v>1108</v>
      </c>
      <c r="B70" s="1324"/>
      <c r="C70" s="1324"/>
      <c r="D70" s="1324"/>
      <c r="E70" s="1324"/>
      <c r="F70" s="1324"/>
      <c r="G70" s="1324"/>
      <c r="H70" s="1324"/>
      <c r="I70" s="1324"/>
      <c r="J70" s="1324"/>
      <c r="K70" s="1324"/>
      <c r="L70" s="1324"/>
      <c r="M70" s="1324"/>
    </row>
    <row r="71" spans="1:16">
      <c r="A71" s="1324" t="s">
        <v>8</v>
      </c>
      <c r="B71" s="1324"/>
      <c r="C71" s="1324"/>
      <c r="D71" s="1324"/>
      <c r="E71" s="1324"/>
      <c r="F71" s="1324"/>
      <c r="G71" s="1324"/>
      <c r="H71" s="1324"/>
      <c r="I71" s="1324"/>
      <c r="J71" s="1324"/>
      <c r="K71" s="1324"/>
      <c r="L71" s="1324"/>
      <c r="M71" s="1324"/>
    </row>
    <row r="72" spans="1:16">
      <c r="A72" s="1318" t="s">
        <v>9</v>
      </c>
      <c r="B72" s="1318"/>
      <c r="C72" s="1318"/>
      <c r="D72" s="1318"/>
      <c r="E72" s="1318"/>
      <c r="F72" s="1318"/>
      <c r="G72" s="1318"/>
      <c r="H72" s="1318"/>
      <c r="I72" s="1318"/>
      <c r="J72" s="1318"/>
      <c r="K72" s="1318"/>
      <c r="L72" s="1318"/>
      <c r="M72" s="1318"/>
    </row>
    <row r="73" spans="1:16">
      <c r="A73" s="1318" t="s">
        <v>10</v>
      </c>
      <c r="B73" s="1318"/>
      <c r="C73" s="1318"/>
      <c r="D73" s="1318"/>
      <c r="E73" s="1318"/>
      <c r="F73" s="1318"/>
      <c r="G73" s="1318"/>
      <c r="H73" s="1318"/>
      <c r="I73" s="1318"/>
      <c r="J73" s="1318"/>
      <c r="K73" s="1318"/>
      <c r="L73" s="1318"/>
      <c r="M73" s="1318"/>
    </row>
    <row r="74" spans="1:16">
      <c r="A74" s="99" t="s">
        <v>11</v>
      </c>
      <c r="B74" s="93"/>
      <c r="C74" s="96"/>
      <c r="D74" s="96"/>
      <c r="E74" s="96"/>
      <c r="F74" s="96"/>
      <c r="G74" s="96"/>
      <c r="H74" s="96"/>
      <c r="I74" s="96"/>
      <c r="J74" s="96"/>
      <c r="K74" s="96"/>
      <c r="L74" s="96"/>
      <c r="M74" s="96"/>
    </row>
    <row r="75" spans="1:16">
      <c r="A75" s="1318" t="s">
        <v>12</v>
      </c>
      <c r="B75" s="1318"/>
      <c r="C75" s="1318"/>
      <c r="D75" s="1318"/>
      <c r="E75" s="1318"/>
      <c r="F75" s="1318"/>
      <c r="G75" s="1318"/>
      <c r="H75" s="1318"/>
      <c r="I75" s="1318"/>
      <c r="J75" s="1318"/>
      <c r="K75" s="1318"/>
      <c r="L75" s="1318"/>
      <c r="M75" s="1318"/>
    </row>
    <row r="76" spans="1:16">
      <c r="A76" s="99" t="s">
        <v>13</v>
      </c>
      <c r="B76" s="93"/>
      <c r="C76" s="96"/>
      <c r="D76" s="96"/>
      <c r="E76" s="96"/>
      <c r="F76" s="96"/>
      <c r="G76" s="96"/>
      <c r="H76" s="96"/>
      <c r="I76" s="96"/>
      <c r="J76" s="96"/>
      <c r="K76" s="96"/>
      <c r="L76" s="96"/>
      <c r="M76" s="96"/>
    </row>
    <row r="77" spans="1:16">
      <c r="A77" s="1318" t="s">
        <v>14</v>
      </c>
      <c r="B77" s="1318"/>
      <c r="C77" s="1318"/>
      <c r="D77" s="1318"/>
      <c r="E77" s="1318"/>
      <c r="F77" s="1318"/>
      <c r="G77" s="1318"/>
      <c r="H77" s="1318"/>
      <c r="I77" s="1318"/>
      <c r="J77" s="1318"/>
      <c r="K77" s="1318"/>
      <c r="L77" s="1318"/>
      <c r="M77" s="1318"/>
    </row>
  </sheetData>
  <mergeCells count="8">
    <mergeCell ref="A75:M75"/>
    <mergeCell ref="A77:M77"/>
    <mergeCell ref="B2:J2"/>
    <mergeCell ref="A2:A4"/>
    <mergeCell ref="A70:M70"/>
    <mergeCell ref="A71:M71"/>
    <mergeCell ref="A72:M72"/>
    <mergeCell ref="A73:M73"/>
  </mergeCells>
  <phoneticPr fontId="17"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3" enableFormatConditionsCalculation="0">
    <tabColor indexed="44"/>
    <pageSetUpPr fitToPage="1"/>
  </sheetPr>
  <dimension ref="A1:N101"/>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A57" sqref="A57:M57"/>
    </sheetView>
  </sheetViews>
  <sheetFormatPr defaultRowHeight="12.7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"&amp;_ADJ3&amp;" - "&amp;Date</f>
        <v>LIM333 Greater Tzaneen - Table B2 Consolidated Adjustments Budget Financial Performance (standard classification) - 26 FEBRUARY 2014</v>
      </c>
      <c r="B1" s="5"/>
      <c r="C1" s="58"/>
    </row>
    <row r="2" spans="1:14" ht="38.25">
      <c r="A2" s="1327" t="str">
        <f>"Standard "&amp;desc</f>
        <v>Standard Description</v>
      </c>
      <c r="B2" s="1322" t="str">
        <f>head27</f>
        <v>Ref</v>
      </c>
      <c r="C2" s="1319" t="str">
        <f>Head2</f>
        <v>Budget Year 2013/14</v>
      </c>
      <c r="D2" s="1320"/>
      <c r="E2" s="1320"/>
      <c r="F2" s="1320"/>
      <c r="G2" s="1320"/>
      <c r="H2" s="1320"/>
      <c r="I2" s="1320"/>
      <c r="J2" s="1320"/>
      <c r="K2" s="1320"/>
      <c r="L2" s="103" t="str">
        <f>Head10</f>
        <v>Budget Year +1 2014/15</v>
      </c>
      <c r="M2" s="61" t="str">
        <f>Head11</f>
        <v>Budget Year +2 2015/16</v>
      </c>
    </row>
    <row r="3" spans="1:14" ht="25.5">
      <c r="A3" s="1328"/>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643</v>
      </c>
      <c r="B5" s="104" t="s">
        <v>652</v>
      </c>
      <c r="C5" s="67" t="s">
        <v>583</v>
      </c>
      <c r="D5" s="68" t="s">
        <v>584</v>
      </c>
      <c r="E5" s="68" t="s">
        <v>585</v>
      </c>
      <c r="F5" s="69" t="s">
        <v>586</v>
      </c>
      <c r="G5" s="69" t="s">
        <v>587</v>
      </c>
      <c r="H5" s="69" t="s">
        <v>588</v>
      </c>
      <c r="I5" s="70" t="s">
        <v>589</v>
      </c>
      <c r="J5" s="70" t="s">
        <v>590</v>
      </c>
      <c r="K5" s="70" t="s">
        <v>591</v>
      </c>
      <c r="L5" s="70"/>
      <c r="M5" s="71"/>
    </row>
    <row r="6" spans="1:14" ht="12.75" customHeight="1">
      <c r="A6" s="72" t="s">
        <v>653</v>
      </c>
      <c r="B6" s="105"/>
      <c r="C6" s="106"/>
      <c r="D6" s="75"/>
      <c r="E6" s="75"/>
      <c r="F6" s="75"/>
      <c r="G6" s="75"/>
      <c r="H6" s="75"/>
      <c r="I6" s="75"/>
      <c r="J6" s="75"/>
      <c r="K6" s="75"/>
      <c r="L6" s="75"/>
      <c r="M6" s="76"/>
      <c r="N6" s="127"/>
    </row>
    <row r="7" spans="1:14" ht="12.75" customHeight="1">
      <c r="A7" s="107" t="s">
        <v>654</v>
      </c>
      <c r="B7" s="73"/>
      <c r="C7" s="257">
        <f>SUM(C8:C10)</f>
        <v>287832735</v>
      </c>
      <c r="D7" s="257">
        <f t="shared" ref="D7:I7" si="1">SUM(D8:D10)</f>
        <v>0</v>
      </c>
      <c r="E7" s="257">
        <f t="shared" si="1"/>
        <v>0</v>
      </c>
      <c r="F7" s="257">
        <f t="shared" si="1"/>
        <v>0</v>
      </c>
      <c r="G7" s="257">
        <f t="shared" si="1"/>
        <v>0</v>
      </c>
      <c r="H7" s="257">
        <f t="shared" si="1"/>
        <v>0</v>
      </c>
      <c r="I7" s="257">
        <f t="shared" si="1"/>
        <v>33247614</v>
      </c>
      <c r="J7" s="257">
        <f>SUM(J8:J10)</f>
        <v>33247614</v>
      </c>
      <c r="K7" s="257">
        <f>SUM(K8:K10)</f>
        <v>321080349</v>
      </c>
      <c r="L7" s="257">
        <f>SUM(L8:L10)</f>
        <v>315811641</v>
      </c>
      <c r="M7" s="725">
        <f>SUM(M8:M10)</f>
        <v>373611334</v>
      </c>
      <c r="N7" s="127"/>
    </row>
    <row r="8" spans="1:14" ht="12.75" customHeight="1">
      <c r="A8" s="108" t="s">
        <v>655</v>
      </c>
      <c r="B8" s="73"/>
      <c r="C8" s="131">
        <f>B2B!C8</f>
        <v>0</v>
      </c>
      <c r="D8" s="131">
        <f>B2B!D8</f>
        <v>0</v>
      </c>
      <c r="E8" s="131">
        <f>B2B!E8</f>
        <v>0</v>
      </c>
      <c r="F8" s="131">
        <f>B2B!F8</f>
        <v>0</v>
      </c>
      <c r="G8" s="131">
        <f>B2B!G8</f>
        <v>0</v>
      </c>
      <c r="H8" s="131">
        <f>B2B!H8</f>
        <v>0</v>
      </c>
      <c r="I8" s="131">
        <f>B2B!I8</f>
        <v>0</v>
      </c>
      <c r="J8" s="171">
        <f>SUM(E8:I8)</f>
        <v>0</v>
      </c>
      <c r="K8" s="171">
        <f>IF(D8=0,C8+J8,D8+J8)</f>
        <v>0</v>
      </c>
      <c r="L8" s="131">
        <f>B2B!L8</f>
        <v>0</v>
      </c>
      <c r="M8" s="132">
        <f>B2B!M8</f>
        <v>0</v>
      </c>
      <c r="N8" s="127"/>
    </row>
    <row r="9" spans="1:14" ht="12.75" customHeight="1">
      <c r="A9" s="108" t="s">
        <v>656</v>
      </c>
      <c r="B9" s="73"/>
      <c r="C9" s="808">
        <f>B2B!C11</f>
        <v>287832278</v>
      </c>
      <c r="D9" s="808">
        <f>B2B!D11</f>
        <v>0</v>
      </c>
      <c r="E9" s="808">
        <f>B2B!E11</f>
        <v>0</v>
      </c>
      <c r="F9" s="808">
        <f>B2B!F11</f>
        <v>0</v>
      </c>
      <c r="G9" s="808">
        <f>B2B!G11</f>
        <v>0</v>
      </c>
      <c r="H9" s="808">
        <f>B2B!H11</f>
        <v>0</v>
      </c>
      <c r="I9" s="808">
        <f>B2B!I11</f>
        <v>33247614</v>
      </c>
      <c r="J9" s="171">
        <f>SUM(E9:I9)</f>
        <v>33247614</v>
      </c>
      <c r="K9" s="171">
        <f>IF(D9=0,C9+J9,D9+J9)</f>
        <v>321079892</v>
      </c>
      <c r="L9" s="808">
        <f>B2B!L11</f>
        <v>315811162</v>
      </c>
      <c r="M9" s="809">
        <f>B2B!M11</f>
        <v>373610831</v>
      </c>
      <c r="N9" s="127"/>
    </row>
    <row r="10" spans="1:14" ht="12.75" customHeight="1">
      <c r="A10" s="108" t="s">
        <v>657</v>
      </c>
      <c r="B10" s="73"/>
      <c r="C10" s="131">
        <f>B2B!C12</f>
        <v>457</v>
      </c>
      <c r="D10" s="131">
        <f>B2B!D12</f>
        <v>0</v>
      </c>
      <c r="E10" s="131">
        <f>B2B!E12</f>
        <v>0</v>
      </c>
      <c r="F10" s="131">
        <f>B2B!F12</f>
        <v>0</v>
      </c>
      <c r="G10" s="131">
        <f>B2B!G12</f>
        <v>0</v>
      </c>
      <c r="H10" s="131">
        <f>B2B!H12</f>
        <v>0</v>
      </c>
      <c r="I10" s="131">
        <f>B2B!I12</f>
        <v>0</v>
      </c>
      <c r="J10" s="171">
        <f>SUM(E10:I10)</f>
        <v>0</v>
      </c>
      <c r="K10" s="171">
        <f>IF(D10=0,C10+J10,D10+J10)</f>
        <v>457</v>
      </c>
      <c r="L10" s="131">
        <f>B2B!L12</f>
        <v>479</v>
      </c>
      <c r="M10" s="132">
        <f>B2B!M12</f>
        <v>503</v>
      </c>
      <c r="N10" s="127"/>
    </row>
    <row r="11" spans="1:14" ht="12.75" customHeight="1">
      <c r="A11" s="107" t="s">
        <v>658</v>
      </c>
      <c r="B11" s="73"/>
      <c r="C11" s="257">
        <f>SUM(C12:C16)</f>
        <v>4110967</v>
      </c>
      <c r="D11" s="257">
        <f t="shared" ref="D11:I11" si="2">SUM(D12:D16)</f>
        <v>0</v>
      </c>
      <c r="E11" s="257">
        <f t="shared" si="2"/>
        <v>0</v>
      </c>
      <c r="F11" s="257">
        <f t="shared" si="2"/>
        <v>0</v>
      </c>
      <c r="G11" s="257">
        <f t="shared" si="2"/>
        <v>0</v>
      </c>
      <c r="H11" s="257">
        <f t="shared" si="2"/>
        <v>0</v>
      </c>
      <c r="I11" s="257">
        <f t="shared" si="2"/>
        <v>0</v>
      </c>
      <c r="J11" s="257">
        <f>SUM(J12:J16)</f>
        <v>0</v>
      </c>
      <c r="K11" s="257">
        <f>SUM(K12:K16)</f>
        <v>4110967</v>
      </c>
      <c r="L11" s="257">
        <f>SUM(L12:L16)</f>
        <v>4312405</v>
      </c>
      <c r="M11" s="725">
        <f>SUM(M12:M16)</f>
        <v>4523712</v>
      </c>
      <c r="N11" s="127"/>
    </row>
    <row r="12" spans="1:14" ht="12.75" customHeight="1">
      <c r="A12" s="108" t="s">
        <v>659</v>
      </c>
      <c r="B12" s="73"/>
      <c r="C12" s="131">
        <f>B2B!C18</f>
        <v>124976</v>
      </c>
      <c r="D12" s="131">
        <f>B2B!D18</f>
        <v>0</v>
      </c>
      <c r="E12" s="131">
        <f>B2B!E18</f>
        <v>0</v>
      </c>
      <c r="F12" s="131">
        <f>B2B!F18</f>
        <v>0</v>
      </c>
      <c r="G12" s="131">
        <f>B2B!G18</f>
        <v>0</v>
      </c>
      <c r="H12" s="131">
        <f>B2B!H18</f>
        <v>0</v>
      </c>
      <c r="I12" s="131">
        <f>B2B!I18</f>
        <v>0</v>
      </c>
      <c r="J12" s="171">
        <f>SUM(E12:I12)</f>
        <v>0</v>
      </c>
      <c r="K12" s="171">
        <f>IF(D12=0,C12+J12,D12+J12)</f>
        <v>124976</v>
      </c>
      <c r="L12" s="131">
        <f>B2B!L18</f>
        <v>131100</v>
      </c>
      <c r="M12" s="132">
        <f>B2B!M18</f>
        <v>137524</v>
      </c>
      <c r="N12" s="127"/>
    </row>
    <row r="13" spans="1:14" ht="12.75" customHeight="1">
      <c r="A13" s="108" t="s">
        <v>660</v>
      </c>
      <c r="B13" s="73"/>
      <c r="C13" s="131">
        <f>B2B!C27</f>
        <v>512766</v>
      </c>
      <c r="D13" s="131">
        <f>B2B!D27</f>
        <v>0</v>
      </c>
      <c r="E13" s="131">
        <f>B2B!E27</f>
        <v>0</v>
      </c>
      <c r="F13" s="131">
        <f>B2B!F27</f>
        <v>0</v>
      </c>
      <c r="G13" s="131">
        <f>B2B!G27</f>
        <v>0</v>
      </c>
      <c r="H13" s="131">
        <f>B2B!H27</f>
        <v>0</v>
      </c>
      <c r="I13" s="131">
        <f>B2B!I27</f>
        <v>0</v>
      </c>
      <c r="J13" s="171">
        <f>SUM(E13:I13)</f>
        <v>0</v>
      </c>
      <c r="K13" s="171">
        <f>IF(D13=0,C13+J13,D13+J13)</f>
        <v>512766</v>
      </c>
      <c r="L13" s="131">
        <f>B2B!L27</f>
        <v>537892</v>
      </c>
      <c r="M13" s="132">
        <f>B2B!M27</f>
        <v>564248</v>
      </c>
      <c r="N13" s="127"/>
    </row>
    <row r="14" spans="1:14" ht="12.75" customHeight="1">
      <c r="A14" s="108" t="s">
        <v>661</v>
      </c>
      <c r="B14" s="73"/>
      <c r="C14" s="131">
        <f>B2B!C28</f>
        <v>3001000</v>
      </c>
      <c r="D14" s="131">
        <f>B2B!D28</f>
        <v>0</v>
      </c>
      <c r="E14" s="131">
        <f>B2B!E28</f>
        <v>0</v>
      </c>
      <c r="F14" s="131">
        <f>B2B!F28</f>
        <v>0</v>
      </c>
      <c r="G14" s="131">
        <f>B2B!G28</f>
        <v>0</v>
      </c>
      <c r="H14" s="131">
        <f>B2B!H28</f>
        <v>0</v>
      </c>
      <c r="I14" s="131">
        <f>B2B!I28</f>
        <v>0</v>
      </c>
      <c r="J14" s="171">
        <f>SUM(E14:I14)</f>
        <v>0</v>
      </c>
      <c r="K14" s="171">
        <f>IF(D14=0,C14+J14,D14+J14)</f>
        <v>3001000</v>
      </c>
      <c r="L14" s="131">
        <f>B2B!L28</f>
        <v>3148049</v>
      </c>
      <c r="M14" s="132">
        <f>B2B!M28</f>
        <v>3302303</v>
      </c>
      <c r="N14" s="127"/>
    </row>
    <row r="15" spans="1:14" ht="12.75" customHeight="1">
      <c r="A15" s="108" t="s">
        <v>662</v>
      </c>
      <c r="B15" s="73"/>
      <c r="C15" s="131">
        <f>B2B!C34</f>
        <v>462225</v>
      </c>
      <c r="D15" s="131">
        <f>B2B!D34</f>
        <v>0</v>
      </c>
      <c r="E15" s="131">
        <f>B2B!E34</f>
        <v>0</v>
      </c>
      <c r="F15" s="131">
        <f>B2B!F34</f>
        <v>0</v>
      </c>
      <c r="G15" s="131">
        <f>B2B!G34</f>
        <v>0</v>
      </c>
      <c r="H15" s="131">
        <f>B2B!H34</f>
        <v>0</v>
      </c>
      <c r="I15" s="131">
        <f>B2B!I34</f>
        <v>0</v>
      </c>
      <c r="J15" s="171">
        <f>SUM(E15:I15)</f>
        <v>0</v>
      </c>
      <c r="K15" s="171">
        <f>IF(D15=0,C15+J15,D15+J15)</f>
        <v>462225</v>
      </c>
      <c r="L15" s="131">
        <f>B2B!L34</f>
        <v>484874</v>
      </c>
      <c r="M15" s="132">
        <f>B2B!M34</f>
        <v>508633</v>
      </c>
      <c r="N15" s="127"/>
    </row>
    <row r="16" spans="1:14" ht="12.75" customHeight="1">
      <c r="A16" s="108" t="s">
        <v>663</v>
      </c>
      <c r="B16" s="73"/>
      <c r="C16" s="808">
        <f>B2B!C35</f>
        <v>10000</v>
      </c>
      <c r="D16" s="808">
        <f>B2B!D35</f>
        <v>0</v>
      </c>
      <c r="E16" s="808">
        <f>B2B!E35</f>
        <v>0</v>
      </c>
      <c r="F16" s="808">
        <f>B2B!F35</f>
        <v>0</v>
      </c>
      <c r="G16" s="808">
        <f>B2B!G35</f>
        <v>0</v>
      </c>
      <c r="H16" s="808">
        <f>B2B!H35</f>
        <v>0</v>
      </c>
      <c r="I16" s="808">
        <f>B2B!I35</f>
        <v>0</v>
      </c>
      <c r="J16" s="171">
        <f>SUM(E16:I16)</f>
        <v>0</v>
      </c>
      <c r="K16" s="171">
        <f>IF(D16=0,C16+J16,D16+J16)</f>
        <v>10000</v>
      </c>
      <c r="L16" s="808">
        <f>B2B!L35</f>
        <v>10490</v>
      </c>
      <c r="M16" s="809">
        <f>B2B!M35</f>
        <v>11004</v>
      </c>
      <c r="N16" s="127"/>
    </row>
    <row r="17" spans="1:14" ht="12.75" customHeight="1">
      <c r="A17" s="107" t="s">
        <v>664</v>
      </c>
      <c r="B17" s="73"/>
      <c r="C17" s="257">
        <f>SUM(C18:C20)</f>
        <v>123384005</v>
      </c>
      <c r="D17" s="257">
        <f t="shared" ref="D17:I17" si="3">SUM(D18:D20)</f>
        <v>0</v>
      </c>
      <c r="E17" s="257">
        <f t="shared" si="3"/>
        <v>0</v>
      </c>
      <c r="F17" s="257">
        <f t="shared" si="3"/>
        <v>0</v>
      </c>
      <c r="G17" s="257">
        <f t="shared" si="3"/>
        <v>0</v>
      </c>
      <c r="H17" s="257">
        <f t="shared" si="3"/>
        <v>18350000</v>
      </c>
      <c r="I17" s="257">
        <f t="shared" si="3"/>
        <v>5500000</v>
      </c>
      <c r="J17" s="257">
        <f>SUM(J18:J20)</f>
        <v>23850000</v>
      </c>
      <c r="K17" s="257">
        <f>SUM(K18:K20)</f>
        <v>147234005</v>
      </c>
      <c r="L17" s="257">
        <f>SUM(L18:L20)</f>
        <v>140999720</v>
      </c>
      <c r="M17" s="725">
        <f>SUM(M18:M20)</f>
        <v>150952810</v>
      </c>
      <c r="N17" s="127"/>
    </row>
    <row r="18" spans="1:14" ht="12.75" customHeight="1">
      <c r="A18" s="108" t="s">
        <v>665</v>
      </c>
      <c r="B18" s="73"/>
      <c r="C18" s="131">
        <f>B2B!C40</f>
        <v>5513655</v>
      </c>
      <c r="D18" s="131">
        <f>B2B!D40</f>
        <v>0</v>
      </c>
      <c r="E18" s="131">
        <f>B2B!E40</f>
        <v>0</v>
      </c>
      <c r="F18" s="131">
        <f>B2B!F40</f>
        <v>0</v>
      </c>
      <c r="G18" s="131">
        <f>B2B!G40</f>
        <v>0</v>
      </c>
      <c r="H18" s="131">
        <f>B2B!H40</f>
        <v>18350000</v>
      </c>
      <c r="I18" s="131">
        <f>B2B!I40</f>
        <v>5500000</v>
      </c>
      <c r="J18" s="171">
        <f>SUM(E18:I18)</f>
        <v>23850000</v>
      </c>
      <c r="K18" s="171">
        <f>IF(D18=0,C18+J18,D18+J18)</f>
        <v>29363655</v>
      </c>
      <c r="L18" s="131">
        <f>B2B!L40</f>
        <v>7038824</v>
      </c>
      <c r="M18" s="132">
        <f>B2B!M40</f>
        <v>7565226</v>
      </c>
      <c r="N18" s="127"/>
    </row>
    <row r="19" spans="1:14" ht="12.75" customHeight="1">
      <c r="A19" s="108" t="s">
        <v>666</v>
      </c>
      <c r="B19" s="73"/>
      <c r="C19" s="131">
        <f>B2B!C44</f>
        <v>117870350</v>
      </c>
      <c r="D19" s="131">
        <f>B2B!D44</f>
        <v>0</v>
      </c>
      <c r="E19" s="131">
        <f>B2B!E44</f>
        <v>0</v>
      </c>
      <c r="F19" s="131">
        <f>B2B!F44</f>
        <v>0</v>
      </c>
      <c r="G19" s="131">
        <f>B2B!G44</f>
        <v>0</v>
      </c>
      <c r="H19" s="131">
        <f>B2B!H44</f>
        <v>0</v>
      </c>
      <c r="I19" s="131">
        <f>B2B!I44</f>
        <v>0</v>
      </c>
      <c r="J19" s="171">
        <f>SUM(E19:I19)</f>
        <v>0</v>
      </c>
      <c r="K19" s="171">
        <f>IF(D19=0,C19+J19,D19+J19)</f>
        <v>117870350</v>
      </c>
      <c r="L19" s="131">
        <f>B2B!L44</f>
        <v>133960896</v>
      </c>
      <c r="M19" s="132">
        <f>B2B!M44</f>
        <v>143387584</v>
      </c>
      <c r="N19" s="127"/>
    </row>
    <row r="20" spans="1:14" ht="12.75" customHeight="1">
      <c r="A20" s="108" t="s">
        <v>667</v>
      </c>
      <c r="B20" s="73"/>
      <c r="C20" s="131">
        <f>B2B!C50</f>
        <v>0</v>
      </c>
      <c r="D20" s="131">
        <f>B2B!D50</f>
        <v>0</v>
      </c>
      <c r="E20" s="131">
        <f>B2B!E50</f>
        <v>0</v>
      </c>
      <c r="F20" s="131">
        <f>B2B!F50</f>
        <v>0</v>
      </c>
      <c r="G20" s="131">
        <f>B2B!G50</f>
        <v>0</v>
      </c>
      <c r="H20" s="131">
        <f>B2B!H50</f>
        <v>0</v>
      </c>
      <c r="I20" s="131">
        <f>B2B!I50</f>
        <v>0</v>
      </c>
      <c r="J20" s="171">
        <f>SUM(E20:I20)</f>
        <v>0</v>
      </c>
      <c r="K20" s="171">
        <f>IF(D20=0,C20+J20,D20+J20)</f>
        <v>0</v>
      </c>
      <c r="L20" s="131">
        <f>B2B!L50</f>
        <v>0</v>
      </c>
      <c r="M20" s="132">
        <f>B2B!M50</f>
        <v>0</v>
      </c>
      <c r="N20" s="127"/>
    </row>
    <row r="21" spans="1:14" ht="12.75" customHeight="1">
      <c r="A21" s="107" t="s">
        <v>668</v>
      </c>
      <c r="B21" s="73"/>
      <c r="C21" s="257">
        <f>SUM(C22:C25)</f>
        <v>435732655</v>
      </c>
      <c r="D21" s="257">
        <f t="shared" ref="D21:M21" si="4">SUM(D22:D25)</f>
        <v>0</v>
      </c>
      <c r="E21" s="257">
        <f t="shared" si="4"/>
        <v>0</v>
      </c>
      <c r="F21" s="257">
        <f t="shared" si="4"/>
        <v>0</v>
      </c>
      <c r="G21" s="257">
        <f t="shared" si="4"/>
        <v>0</v>
      </c>
      <c r="H21" s="257">
        <f t="shared" si="4"/>
        <v>2000000</v>
      </c>
      <c r="I21" s="257">
        <f t="shared" si="4"/>
        <v>0</v>
      </c>
      <c r="J21" s="257">
        <f t="shared" si="4"/>
        <v>2000000</v>
      </c>
      <c r="K21" s="257">
        <f t="shared" si="4"/>
        <v>437732655</v>
      </c>
      <c r="L21" s="257">
        <f t="shared" si="4"/>
        <v>459064765</v>
      </c>
      <c r="M21" s="725">
        <f t="shared" si="4"/>
        <v>480088939</v>
      </c>
      <c r="N21" s="127"/>
    </row>
    <row r="22" spans="1:14" ht="12.75" customHeight="1">
      <c r="A22" s="108" t="s">
        <v>669</v>
      </c>
      <c r="B22" s="73"/>
      <c r="C22" s="131">
        <f>B2B!C55</f>
        <v>404524484</v>
      </c>
      <c r="D22" s="131">
        <f>B2B!D55</f>
        <v>0</v>
      </c>
      <c r="E22" s="131">
        <f>B2B!E55</f>
        <v>0</v>
      </c>
      <c r="F22" s="131">
        <f>B2B!F55</f>
        <v>0</v>
      </c>
      <c r="G22" s="131">
        <f>B2B!G55</f>
        <v>0</v>
      </c>
      <c r="H22" s="131">
        <f>B2B!H55</f>
        <v>2000000</v>
      </c>
      <c r="I22" s="131">
        <f>B2B!I55</f>
        <v>0</v>
      </c>
      <c r="J22" s="171">
        <f>SUM(E22:I22)</f>
        <v>2000000</v>
      </c>
      <c r="K22" s="171">
        <f>IF(D22=0,C22+J22,D22+J22)</f>
        <v>406524484</v>
      </c>
      <c r="L22" s="131">
        <f>B2B!L55</f>
        <v>428121184</v>
      </c>
      <c r="M22" s="132">
        <f>B2B!M55</f>
        <v>447629122</v>
      </c>
      <c r="N22" s="127"/>
    </row>
    <row r="23" spans="1:14" ht="12.75" customHeight="1">
      <c r="A23" s="108" t="s">
        <v>670</v>
      </c>
      <c r="B23" s="73"/>
      <c r="C23" s="131">
        <f>B2B!C58</f>
        <v>0</v>
      </c>
      <c r="D23" s="131">
        <f>B2B!D58</f>
        <v>0</v>
      </c>
      <c r="E23" s="131">
        <f>B2B!E58</f>
        <v>0</v>
      </c>
      <c r="F23" s="131">
        <f>B2B!F58</f>
        <v>0</v>
      </c>
      <c r="G23" s="131">
        <f>B2B!G58</f>
        <v>0</v>
      </c>
      <c r="H23" s="131">
        <f>B2B!H58</f>
        <v>0</v>
      </c>
      <c r="I23" s="131">
        <f>B2B!I58</f>
        <v>0</v>
      </c>
      <c r="J23" s="171">
        <f>SUM(E23:I23)</f>
        <v>0</v>
      </c>
      <c r="K23" s="171">
        <f>IF(D23=0,C23+J23,D23+J23)</f>
        <v>0</v>
      </c>
      <c r="L23" s="131">
        <f>B2B!L58</f>
        <v>0</v>
      </c>
      <c r="M23" s="132">
        <f>B2B!M58</f>
        <v>0</v>
      </c>
      <c r="N23" s="127"/>
    </row>
    <row r="24" spans="1:14" ht="12.75" customHeight="1">
      <c r="A24" s="108" t="s">
        <v>671</v>
      </c>
      <c r="B24" s="73"/>
      <c r="C24" s="808">
        <f>B2B!C61</f>
        <v>0</v>
      </c>
      <c r="D24" s="808">
        <f>B2B!D61</f>
        <v>0</v>
      </c>
      <c r="E24" s="131">
        <f>B2B!E61</f>
        <v>0</v>
      </c>
      <c r="F24" s="131">
        <f>B2B!F61</f>
        <v>0</v>
      </c>
      <c r="G24" s="131">
        <f>B2B!G61</f>
        <v>0</v>
      </c>
      <c r="H24" s="808">
        <f>B2B!H61</f>
        <v>0</v>
      </c>
      <c r="I24" s="808">
        <f>B2B!I61</f>
        <v>0</v>
      </c>
      <c r="J24" s="171">
        <f>SUM(E24:I24)</f>
        <v>0</v>
      </c>
      <c r="K24" s="171">
        <f>IF(D24=0,C24+J24,D24+J24)</f>
        <v>0</v>
      </c>
      <c r="L24" s="808">
        <f>B2B!L61</f>
        <v>0</v>
      </c>
      <c r="M24" s="809">
        <f>B2B!M61</f>
        <v>0</v>
      </c>
      <c r="N24" s="127"/>
    </row>
    <row r="25" spans="1:14" ht="12.75" customHeight="1">
      <c r="A25" s="108" t="s">
        <v>672</v>
      </c>
      <c r="B25" s="73"/>
      <c r="C25" s="131">
        <f>B2B!C65</f>
        <v>31208171</v>
      </c>
      <c r="D25" s="131">
        <f>B2B!D65</f>
        <v>0</v>
      </c>
      <c r="E25" s="131">
        <f>B2B!E65</f>
        <v>0</v>
      </c>
      <c r="F25" s="131">
        <f>B2B!F65</f>
        <v>0</v>
      </c>
      <c r="G25" s="131">
        <f>B2B!G65</f>
        <v>0</v>
      </c>
      <c r="H25" s="131">
        <f>B2B!H65</f>
        <v>0</v>
      </c>
      <c r="I25" s="131">
        <f>B2B!I65</f>
        <v>0</v>
      </c>
      <c r="J25" s="171">
        <f>SUM(E25:I25)</f>
        <v>0</v>
      </c>
      <c r="K25" s="171">
        <f>IF(D25=0,C25+J25,D25+J25)</f>
        <v>31208171</v>
      </c>
      <c r="L25" s="131">
        <f>B2B!L65</f>
        <v>30943581</v>
      </c>
      <c r="M25" s="132">
        <f>B2B!M65</f>
        <v>32459817</v>
      </c>
      <c r="N25" s="127"/>
    </row>
    <row r="26" spans="1:14" ht="12.75" customHeight="1">
      <c r="A26" s="107" t="s">
        <v>673</v>
      </c>
      <c r="B26" s="73"/>
      <c r="C26" s="257">
        <f>B2B!C67</f>
        <v>0</v>
      </c>
      <c r="D26" s="257">
        <f>B2B!D67</f>
        <v>0</v>
      </c>
      <c r="E26" s="257">
        <f>B2B!E67</f>
        <v>0</v>
      </c>
      <c r="F26" s="257">
        <f>B2B!F67</f>
        <v>0</v>
      </c>
      <c r="G26" s="257">
        <f>B2B!G67</f>
        <v>0</v>
      </c>
      <c r="H26" s="257">
        <f>B2B!H67</f>
        <v>0</v>
      </c>
      <c r="I26" s="257">
        <f>B2B!I67</f>
        <v>0</v>
      </c>
      <c r="J26" s="719">
        <f>SUM(E26:I26)</f>
        <v>0</v>
      </c>
      <c r="K26" s="719">
        <f>IF(D26=0,C26+J26,D26+J26)</f>
        <v>0</v>
      </c>
      <c r="L26" s="257">
        <f>B2B!L67</f>
        <v>0</v>
      </c>
      <c r="M26" s="725">
        <f>B2B!M67</f>
        <v>0</v>
      </c>
      <c r="N26" s="127"/>
    </row>
    <row r="27" spans="1:14" ht="12.75" customHeight="1">
      <c r="A27" s="78" t="s">
        <v>674</v>
      </c>
      <c r="B27" s="79">
        <v>2</v>
      </c>
      <c r="C27" s="703">
        <f>C7+C11+C17+C21+C26</f>
        <v>851060362</v>
      </c>
      <c r="D27" s="704">
        <f t="shared" ref="D27:M27" si="5">D7+D11+D17+D21+D26</f>
        <v>0</v>
      </c>
      <c r="E27" s="704">
        <f t="shared" si="5"/>
        <v>0</v>
      </c>
      <c r="F27" s="704">
        <f t="shared" si="5"/>
        <v>0</v>
      </c>
      <c r="G27" s="704">
        <f t="shared" si="5"/>
        <v>0</v>
      </c>
      <c r="H27" s="704">
        <f t="shared" si="5"/>
        <v>20350000</v>
      </c>
      <c r="I27" s="704">
        <f t="shared" si="5"/>
        <v>38747614</v>
      </c>
      <c r="J27" s="704">
        <f t="shared" si="5"/>
        <v>59097614</v>
      </c>
      <c r="K27" s="704">
        <f t="shared" si="5"/>
        <v>910157976</v>
      </c>
      <c r="L27" s="704">
        <f t="shared" si="5"/>
        <v>920188531</v>
      </c>
      <c r="M27" s="705">
        <f t="shared" si="5"/>
        <v>1009176795</v>
      </c>
      <c r="N27" s="127"/>
    </row>
    <row r="28" spans="1:14" ht="5.0999999999999996" customHeight="1">
      <c r="A28" s="83"/>
      <c r="B28" s="73"/>
      <c r="C28" s="74"/>
      <c r="D28" s="75"/>
      <c r="E28" s="75"/>
      <c r="F28" s="75"/>
      <c r="G28" s="75"/>
      <c r="H28" s="75"/>
      <c r="I28" s="75"/>
      <c r="J28" s="75"/>
      <c r="K28" s="75"/>
      <c r="L28" s="75"/>
      <c r="M28" s="76"/>
      <c r="N28" s="127"/>
    </row>
    <row r="29" spans="1:14" ht="12.75" customHeight="1">
      <c r="A29" s="72" t="s">
        <v>675</v>
      </c>
      <c r="B29" s="114"/>
      <c r="C29" s="74"/>
      <c r="D29" s="75"/>
      <c r="E29" s="75"/>
      <c r="F29" s="75"/>
      <c r="G29" s="75"/>
      <c r="H29" s="75"/>
      <c r="I29" s="75"/>
      <c r="J29" s="75"/>
      <c r="K29" s="75"/>
      <c r="L29" s="75"/>
      <c r="M29" s="76"/>
      <c r="N29" s="127"/>
    </row>
    <row r="30" spans="1:14" ht="12.75" customHeight="1">
      <c r="A30" s="107" t="str">
        <f t="shared" ref="A30:A49" si="6">A7</f>
        <v>Governance and administration</v>
      </c>
      <c r="B30" s="73"/>
      <c r="C30" s="257">
        <f>SUM(C31:C33)</f>
        <v>148637753</v>
      </c>
      <c r="D30" s="257">
        <f t="shared" ref="D30:I30" si="7">SUM(D31:D33)</f>
        <v>0</v>
      </c>
      <c r="E30" s="257">
        <f t="shared" si="7"/>
        <v>0</v>
      </c>
      <c r="F30" s="257">
        <f t="shared" si="7"/>
        <v>0</v>
      </c>
      <c r="G30" s="257">
        <f t="shared" si="7"/>
        <v>0</v>
      </c>
      <c r="H30" s="257">
        <f t="shared" si="7"/>
        <v>0</v>
      </c>
      <c r="I30" s="257">
        <f t="shared" si="7"/>
        <v>7766484</v>
      </c>
      <c r="J30" s="257">
        <f>SUM(J31:J33)</f>
        <v>7766484</v>
      </c>
      <c r="K30" s="257">
        <f>SUM(K31:K33)</f>
        <v>156404237</v>
      </c>
      <c r="L30" s="257">
        <f>SUM(L31:L33)</f>
        <v>156337939</v>
      </c>
      <c r="M30" s="725">
        <f>SUM(M31:M33)</f>
        <v>163612404</v>
      </c>
      <c r="N30" s="127"/>
    </row>
    <row r="31" spans="1:14" ht="12.75" customHeight="1">
      <c r="A31" s="108" t="str">
        <f t="shared" si="6"/>
        <v>Executive and council</v>
      </c>
      <c r="B31" s="73"/>
      <c r="C31" s="131">
        <f>B2B!C77</f>
        <v>31990493</v>
      </c>
      <c r="D31" s="131">
        <f>B2B!D77</f>
        <v>0</v>
      </c>
      <c r="E31" s="131">
        <f>B2B!E77</f>
        <v>0</v>
      </c>
      <c r="F31" s="131">
        <f>B2B!F77</f>
        <v>0</v>
      </c>
      <c r="G31" s="131">
        <f>B2B!G77</f>
        <v>0</v>
      </c>
      <c r="H31" s="131">
        <f>B2B!H77</f>
        <v>0</v>
      </c>
      <c r="I31" s="131">
        <f>B2B!I77</f>
        <v>453089</v>
      </c>
      <c r="J31" s="171">
        <f>SUM(E31:I31)</f>
        <v>453089</v>
      </c>
      <c r="K31" s="171">
        <f>IF(D31=0,C31+J31,D31+J31)</f>
        <v>32443582</v>
      </c>
      <c r="L31" s="131">
        <f>B2B!L77</f>
        <v>33680640</v>
      </c>
      <c r="M31" s="132">
        <f>B2B!M77</f>
        <v>35286110</v>
      </c>
      <c r="N31" s="127"/>
    </row>
    <row r="32" spans="1:14" ht="12.75" customHeight="1">
      <c r="A32" s="108" t="str">
        <f t="shared" si="6"/>
        <v>Budget and treasury office</v>
      </c>
      <c r="B32" s="73"/>
      <c r="C32" s="808">
        <f>B2B!C80</f>
        <v>60100585</v>
      </c>
      <c r="D32" s="808">
        <f>B2B!D80</f>
        <v>0</v>
      </c>
      <c r="E32" s="808">
        <f>B2B!E80</f>
        <v>0</v>
      </c>
      <c r="F32" s="808">
        <f>B2B!F80</f>
        <v>0</v>
      </c>
      <c r="G32" s="808">
        <f>B2B!G80</f>
        <v>0</v>
      </c>
      <c r="H32" s="808">
        <f>B2B!H80</f>
        <v>0</v>
      </c>
      <c r="I32" s="808">
        <f>B2B!I80</f>
        <v>-11886</v>
      </c>
      <c r="J32" s="171">
        <f>SUM(E32:I32)</f>
        <v>-11886</v>
      </c>
      <c r="K32" s="171">
        <f>IF(D32=0,C32+J32,D32+J32)</f>
        <v>60088699</v>
      </c>
      <c r="L32" s="808">
        <f>B2B!L80</f>
        <v>63142567</v>
      </c>
      <c r="M32" s="809">
        <f>B2B!M80</f>
        <v>66150506</v>
      </c>
      <c r="N32" s="127"/>
    </row>
    <row r="33" spans="1:14" ht="12.75" customHeight="1">
      <c r="A33" s="108" t="str">
        <f t="shared" si="6"/>
        <v>Corporate services</v>
      </c>
      <c r="B33" s="73"/>
      <c r="C33" s="131">
        <f>B2B!C81</f>
        <v>56546675</v>
      </c>
      <c r="D33" s="131">
        <f>B2B!D81</f>
        <v>0</v>
      </c>
      <c r="E33" s="131">
        <f>B2B!E81</f>
        <v>0</v>
      </c>
      <c r="F33" s="131">
        <f>B2B!F81</f>
        <v>0</v>
      </c>
      <c r="G33" s="131">
        <f>B2B!G81</f>
        <v>0</v>
      </c>
      <c r="H33" s="131">
        <f>B2B!H81</f>
        <v>0</v>
      </c>
      <c r="I33" s="131">
        <f>B2B!I81</f>
        <v>7325281</v>
      </c>
      <c r="J33" s="171">
        <f>SUM(E33:I33)</f>
        <v>7325281</v>
      </c>
      <c r="K33" s="171">
        <f>IF(D33=0,C33+J33,D33+J33)</f>
        <v>63871956</v>
      </c>
      <c r="L33" s="131">
        <f>B2B!L81</f>
        <v>59514732</v>
      </c>
      <c r="M33" s="132">
        <f>B2B!M81</f>
        <v>62175788</v>
      </c>
      <c r="N33" s="127"/>
    </row>
    <row r="34" spans="1:14" ht="12.75" customHeight="1">
      <c r="A34" s="107" t="str">
        <f t="shared" si="6"/>
        <v>Community and public safety</v>
      </c>
      <c r="B34" s="73"/>
      <c r="C34" s="257">
        <f>SUM(C35:C39)</f>
        <v>78445782</v>
      </c>
      <c r="D34" s="257">
        <f t="shared" ref="D34:I34" si="8">SUM(D35:D39)</f>
        <v>0</v>
      </c>
      <c r="E34" s="257">
        <f t="shared" si="8"/>
        <v>0</v>
      </c>
      <c r="F34" s="257">
        <f t="shared" si="8"/>
        <v>0</v>
      </c>
      <c r="G34" s="257">
        <f t="shared" si="8"/>
        <v>0</v>
      </c>
      <c r="H34" s="257">
        <f t="shared" si="8"/>
        <v>0</v>
      </c>
      <c r="I34" s="257">
        <f t="shared" si="8"/>
        <v>-21715</v>
      </c>
      <c r="J34" s="257">
        <f>SUM(J35:J39)</f>
        <v>-21715</v>
      </c>
      <c r="K34" s="257">
        <f>SUM(K35:K39)</f>
        <v>78424067</v>
      </c>
      <c r="L34" s="257">
        <f>SUM(L35:L39)</f>
        <v>82338671</v>
      </c>
      <c r="M34" s="725">
        <f>SUM(M35:M39)</f>
        <v>86705345</v>
      </c>
      <c r="N34" s="127"/>
    </row>
    <row r="35" spans="1:14" ht="12.75" customHeight="1">
      <c r="A35" s="108" t="str">
        <f t="shared" si="6"/>
        <v>Community and social services</v>
      </c>
      <c r="B35" s="73"/>
      <c r="C35" s="131">
        <f>B2B!C87</f>
        <v>5124893</v>
      </c>
      <c r="D35" s="131">
        <f>B2B!D87</f>
        <v>0</v>
      </c>
      <c r="E35" s="131">
        <f>B2B!E87</f>
        <v>0</v>
      </c>
      <c r="F35" s="131">
        <f>B2B!F87</f>
        <v>0</v>
      </c>
      <c r="G35" s="131">
        <f>B2B!G87</f>
        <v>0</v>
      </c>
      <c r="H35" s="131">
        <f>B2B!H87</f>
        <v>0</v>
      </c>
      <c r="I35" s="131">
        <f>B2B!I87</f>
        <v>-4842</v>
      </c>
      <c r="J35" s="171">
        <f>SUM(E35:I35)</f>
        <v>-4842</v>
      </c>
      <c r="K35" s="171">
        <f>IF(D35=0,C35+J35,D35+J35)</f>
        <v>5120051</v>
      </c>
      <c r="L35" s="131">
        <f>B2B!L87</f>
        <v>5376013</v>
      </c>
      <c r="M35" s="132">
        <f>B2B!M87</f>
        <v>5639437</v>
      </c>
      <c r="N35" s="127"/>
    </row>
    <row r="36" spans="1:14" ht="12.75" customHeight="1">
      <c r="A36" s="108" t="str">
        <f t="shared" si="6"/>
        <v>Sport and recreation</v>
      </c>
      <c r="B36" s="73"/>
      <c r="C36" s="131">
        <f>B2B!C96</f>
        <v>23656933</v>
      </c>
      <c r="D36" s="131">
        <f>B2B!D96</f>
        <v>0</v>
      </c>
      <c r="E36" s="131">
        <f>B2B!E96</f>
        <v>0</v>
      </c>
      <c r="F36" s="131">
        <f>B2B!F96</f>
        <v>0</v>
      </c>
      <c r="G36" s="131">
        <f>B2B!G96</f>
        <v>0</v>
      </c>
      <c r="H36" s="131">
        <f>B2B!H96</f>
        <v>0</v>
      </c>
      <c r="I36" s="131">
        <f>B2B!I96</f>
        <v>-958</v>
      </c>
      <c r="J36" s="171">
        <f>SUM(E36:I36)</f>
        <v>-958</v>
      </c>
      <c r="K36" s="171">
        <f>IF(D36=0,C36+J36,D36+J36)</f>
        <v>23655975</v>
      </c>
      <c r="L36" s="131">
        <f>B2B!L96</f>
        <v>24816123</v>
      </c>
      <c r="M36" s="132">
        <f>B2B!M96</f>
        <v>26032113</v>
      </c>
      <c r="N36" s="127"/>
    </row>
    <row r="37" spans="1:14" ht="12.75" customHeight="1">
      <c r="A37" s="108" t="str">
        <f t="shared" si="6"/>
        <v>Public safety</v>
      </c>
      <c r="B37" s="73"/>
      <c r="C37" s="131">
        <f>B2B!C97</f>
        <v>27373628</v>
      </c>
      <c r="D37" s="131">
        <f>B2B!D97</f>
        <v>0</v>
      </c>
      <c r="E37" s="131">
        <f>B2B!E97</f>
        <v>0</v>
      </c>
      <c r="F37" s="131">
        <f>B2B!F97</f>
        <v>0</v>
      </c>
      <c r="G37" s="131">
        <f>B2B!G97</f>
        <v>0</v>
      </c>
      <c r="H37" s="131">
        <f>B2B!H97</f>
        <v>0</v>
      </c>
      <c r="I37" s="131">
        <f>B2B!I97</f>
        <v>-10316</v>
      </c>
      <c r="J37" s="171">
        <f>SUM(E37:I37)</f>
        <v>-10316</v>
      </c>
      <c r="K37" s="171">
        <f>IF(D37=0,C37+J37,D37+J37)</f>
        <v>27363312</v>
      </c>
      <c r="L37" s="131">
        <f>B2B!L97</f>
        <v>28714936</v>
      </c>
      <c r="M37" s="132">
        <f>B2B!M97</f>
        <v>30121968</v>
      </c>
      <c r="N37" s="127"/>
    </row>
    <row r="38" spans="1:14" ht="12.75" customHeight="1">
      <c r="A38" s="108" t="str">
        <f t="shared" si="6"/>
        <v>Housing</v>
      </c>
      <c r="B38" s="73"/>
      <c r="C38" s="131">
        <f>B2B!C103</f>
        <v>15431307</v>
      </c>
      <c r="D38" s="131">
        <f>B2B!D103</f>
        <v>0</v>
      </c>
      <c r="E38" s="131">
        <f>B2B!E103</f>
        <v>0</v>
      </c>
      <c r="F38" s="131">
        <f>B2B!F103</f>
        <v>0</v>
      </c>
      <c r="G38" s="131">
        <f>B2B!G103</f>
        <v>0</v>
      </c>
      <c r="H38" s="131">
        <f>B2B!H103</f>
        <v>0</v>
      </c>
      <c r="I38" s="131">
        <f>B2B!I103</f>
        <v>-5158</v>
      </c>
      <c r="J38" s="171">
        <f>SUM(E38:I38)</f>
        <v>-5158</v>
      </c>
      <c r="K38" s="171">
        <f>IF(D38=0,C38+J38,D38+J38)</f>
        <v>15426149</v>
      </c>
      <c r="L38" s="131">
        <f>B2B!L103</f>
        <v>16236486</v>
      </c>
      <c r="M38" s="132">
        <f>B2B!M103</f>
        <v>17364153</v>
      </c>
      <c r="N38" s="127"/>
    </row>
    <row r="39" spans="1:14" ht="12.75" customHeight="1">
      <c r="A39" s="108" t="str">
        <f t="shared" si="6"/>
        <v>Health</v>
      </c>
      <c r="B39" s="73"/>
      <c r="C39" s="808">
        <f>B2B!C104</f>
        <v>6859021</v>
      </c>
      <c r="D39" s="808">
        <f>B2B!D104</f>
        <v>0</v>
      </c>
      <c r="E39" s="808">
        <f>B2B!E104</f>
        <v>0</v>
      </c>
      <c r="F39" s="808">
        <f>B2B!F104</f>
        <v>0</v>
      </c>
      <c r="G39" s="808">
        <f>B2B!G104</f>
        <v>0</v>
      </c>
      <c r="H39" s="808">
        <f>B2B!H104</f>
        <v>0</v>
      </c>
      <c r="I39" s="808">
        <f>B2B!I104</f>
        <v>-441</v>
      </c>
      <c r="J39" s="171">
        <f>SUM(E39:I39)</f>
        <v>-441</v>
      </c>
      <c r="K39" s="171">
        <f>IF(D39=0,C39+J39,D39+J39)</f>
        <v>6858580</v>
      </c>
      <c r="L39" s="808">
        <f>B2B!L104</f>
        <v>7195113</v>
      </c>
      <c r="M39" s="809">
        <f>B2B!M104</f>
        <v>7547674</v>
      </c>
      <c r="N39" s="127"/>
    </row>
    <row r="40" spans="1:14" ht="12.75" customHeight="1">
      <c r="A40" s="107" t="str">
        <f t="shared" si="6"/>
        <v>Economic and environmental services</v>
      </c>
      <c r="B40" s="73"/>
      <c r="C40" s="257">
        <f>SUM(C41:C43)</f>
        <v>142928383</v>
      </c>
      <c r="D40" s="257">
        <f t="shared" ref="D40:I40" si="9">SUM(D41:D43)</f>
        <v>0</v>
      </c>
      <c r="E40" s="257">
        <f t="shared" si="9"/>
        <v>0</v>
      </c>
      <c r="F40" s="257">
        <f t="shared" si="9"/>
        <v>0</v>
      </c>
      <c r="G40" s="257">
        <f t="shared" si="9"/>
        <v>0</v>
      </c>
      <c r="H40" s="257">
        <f t="shared" si="9"/>
        <v>0</v>
      </c>
      <c r="I40" s="257">
        <f t="shared" si="9"/>
        <v>5242388</v>
      </c>
      <c r="J40" s="257">
        <f>SUM(J41:J43)</f>
        <v>5242388</v>
      </c>
      <c r="K40" s="257">
        <f>SUM(K41:K43)</f>
        <v>148170771</v>
      </c>
      <c r="L40" s="257">
        <f>SUM(L41:L43)</f>
        <v>161388192</v>
      </c>
      <c r="M40" s="725">
        <f>SUM(M41:M43)</f>
        <v>168908092</v>
      </c>
      <c r="N40" s="127"/>
    </row>
    <row r="41" spans="1:14" ht="12.75" customHeight="1">
      <c r="A41" s="108" t="str">
        <f t="shared" si="6"/>
        <v>Planning and development</v>
      </c>
      <c r="B41" s="73"/>
      <c r="C41" s="131">
        <f>B2B!C109</f>
        <v>13600247</v>
      </c>
      <c r="D41" s="131">
        <f>B2B!D109</f>
        <v>0</v>
      </c>
      <c r="E41" s="131">
        <f>B2B!E109</f>
        <v>0</v>
      </c>
      <c r="F41" s="131">
        <f>B2B!F109</f>
        <v>0</v>
      </c>
      <c r="G41" s="131">
        <f>B2B!G109</f>
        <v>0</v>
      </c>
      <c r="H41" s="131">
        <f>B2B!H109</f>
        <v>0</v>
      </c>
      <c r="I41" s="131">
        <f>B2B!I109</f>
        <v>5479653</v>
      </c>
      <c r="J41" s="171">
        <f>SUM(E41:I41)</f>
        <v>5479653</v>
      </c>
      <c r="K41" s="171">
        <f>IF(D41=0,C41+J41,D41+J41)</f>
        <v>19079900</v>
      </c>
      <c r="L41" s="131">
        <f>B2B!L109</f>
        <v>21354726</v>
      </c>
      <c r="M41" s="132">
        <f>B2B!M109</f>
        <v>23194319</v>
      </c>
      <c r="N41" s="127"/>
    </row>
    <row r="42" spans="1:14" ht="12.75" customHeight="1">
      <c r="A42" s="108" t="str">
        <f t="shared" si="6"/>
        <v>Road transport</v>
      </c>
      <c r="B42" s="73"/>
      <c r="C42" s="131">
        <f>B2B!C113</f>
        <v>129328136</v>
      </c>
      <c r="D42" s="131">
        <f>B2B!D113</f>
        <v>0</v>
      </c>
      <c r="E42" s="131">
        <f>B2B!E113</f>
        <v>0</v>
      </c>
      <c r="F42" s="131">
        <f>B2B!F113</f>
        <v>0</v>
      </c>
      <c r="G42" s="131">
        <f>B2B!G113</f>
        <v>0</v>
      </c>
      <c r="H42" s="131">
        <f>B2B!H113</f>
        <v>0</v>
      </c>
      <c r="I42" s="131">
        <f>B2B!I113</f>
        <v>-237265</v>
      </c>
      <c r="J42" s="171">
        <f>SUM(E42:I42)</f>
        <v>-237265</v>
      </c>
      <c r="K42" s="171">
        <f>IF(D42=0,C42+J42,D42+J42)</f>
        <v>129090871</v>
      </c>
      <c r="L42" s="131">
        <f>B2B!L113</f>
        <v>140033466</v>
      </c>
      <c r="M42" s="132">
        <f>B2B!M113</f>
        <v>145713773</v>
      </c>
      <c r="N42" s="127"/>
    </row>
    <row r="43" spans="1:14" ht="12.75" customHeight="1">
      <c r="A43" s="108" t="str">
        <f t="shared" si="6"/>
        <v>Environmental protection</v>
      </c>
      <c r="B43" s="73"/>
      <c r="C43" s="131">
        <f>B2B!C119</f>
        <v>0</v>
      </c>
      <c r="D43" s="131">
        <f>B2B!D119</f>
        <v>0</v>
      </c>
      <c r="E43" s="131">
        <f>B2B!E119</f>
        <v>0</v>
      </c>
      <c r="F43" s="131">
        <f>B2B!F119</f>
        <v>0</v>
      </c>
      <c r="G43" s="131">
        <f>B2B!G119</f>
        <v>0</v>
      </c>
      <c r="H43" s="131">
        <f>B2B!H119</f>
        <v>0</v>
      </c>
      <c r="I43" s="131">
        <f>B2B!I119</f>
        <v>0</v>
      </c>
      <c r="J43" s="171">
        <f>SUM(E43:I43)</f>
        <v>0</v>
      </c>
      <c r="K43" s="171">
        <f>IF(D43=0,C43+J43,D43+J43)</f>
        <v>0</v>
      </c>
      <c r="L43" s="131">
        <f>B2B!L119</f>
        <v>0</v>
      </c>
      <c r="M43" s="132">
        <f>B2B!M119</f>
        <v>0</v>
      </c>
      <c r="N43" s="127"/>
    </row>
    <row r="44" spans="1:14" ht="12.75" customHeight="1">
      <c r="A44" s="107" t="str">
        <f t="shared" si="6"/>
        <v>Trading services</v>
      </c>
      <c r="B44" s="73"/>
      <c r="C44" s="257">
        <f>SUM(C45:C48)</f>
        <v>411341800</v>
      </c>
      <c r="D44" s="257">
        <f t="shared" ref="D44:M44" si="10">SUM(D45:D48)</f>
        <v>0</v>
      </c>
      <c r="E44" s="257">
        <f t="shared" si="10"/>
        <v>0</v>
      </c>
      <c r="F44" s="257">
        <f t="shared" si="10"/>
        <v>0</v>
      </c>
      <c r="G44" s="257">
        <f t="shared" si="10"/>
        <v>0</v>
      </c>
      <c r="H44" s="257">
        <f t="shared" si="10"/>
        <v>0</v>
      </c>
      <c r="I44" s="257">
        <f t="shared" si="10"/>
        <v>5183844</v>
      </c>
      <c r="J44" s="257">
        <f t="shared" si="10"/>
        <v>5183844</v>
      </c>
      <c r="K44" s="257">
        <f t="shared" si="10"/>
        <v>416525644</v>
      </c>
      <c r="L44" s="257">
        <f t="shared" si="10"/>
        <v>439349621</v>
      </c>
      <c r="M44" s="725">
        <f t="shared" si="10"/>
        <v>462432739</v>
      </c>
      <c r="N44" s="127"/>
    </row>
    <row r="45" spans="1:14" ht="12.75" customHeight="1">
      <c r="A45" s="108" t="str">
        <f t="shared" si="6"/>
        <v>Electricity</v>
      </c>
      <c r="B45" s="73"/>
      <c r="C45" s="131">
        <f>B2B!C124</f>
        <v>357038728</v>
      </c>
      <c r="D45" s="131">
        <f>B2B!D124</f>
        <v>0</v>
      </c>
      <c r="E45" s="131">
        <f>B2B!E124</f>
        <v>0</v>
      </c>
      <c r="F45" s="131">
        <f>B2B!F124</f>
        <v>0</v>
      </c>
      <c r="G45" s="131">
        <f>B2B!G124</f>
        <v>0</v>
      </c>
      <c r="H45" s="131">
        <f>B2B!H124</f>
        <v>0</v>
      </c>
      <c r="I45" s="131">
        <f>B2B!I124</f>
        <v>5187995</v>
      </c>
      <c r="J45" s="171">
        <f>SUM(E45:I45)</f>
        <v>5187995</v>
      </c>
      <c r="K45" s="171">
        <f>IF(D45=0,C45+J45,D45+J45)</f>
        <v>362226723</v>
      </c>
      <c r="L45" s="131">
        <f>B2B!L124</f>
        <v>383192451</v>
      </c>
      <c r="M45" s="132">
        <f>B2B!M124</f>
        <v>404319775</v>
      </c>
      <c r="N45" s="127"/>
    </row>
    <row r="46" spans="1:14" ht="12.75" customHeight="1">
      <c r="A46" s="108" t="str">
        <f t="shared" si="6"/>
        <v>Water</v>
      </c>
      <c r="B46" s="73"/>
      <c r="C46" s="131">
        <f>B2B!C127</f>
        <v>0</v>
      </c>
      <c r="D46" s="131">
        <f>B2B!D127</f>
        <v>0</v>
      </c>
      <c r="E46" s="131">
        <f>B2B!E127</f>
        <v>0</v>
      </c>
      <c r="F46" s="131">
        <f>B2B!F127</f>
        <v>0</v>
      </c>
      <c r="G46" s="131">
        <f>B2B!G127</f>
        <v>0</v>
      </c>
      <c r="H46" s="131">
        <f>B2B!H127</f>
        <v>0</v>
      </c>
      <c r="I46" s="131">
        <f>B2B!I127</f>
        <v>0</v>
      </c>
      <c r="J46" s="171">
        <f>SUM(E46:I46)</f>
        <v>0</v>
      </c>
      <c r="K46" s="171">
        <f>IF(D46=0,C46+J46,D46+J46)</f>
        <v>0</v>
      </c>
      <c r="L46" s="131">
        <f>B2B!L127</f>
        <v>0</v>
      </c>
      <c r="M46" s="132">
        <f>B2B!M127</f>
        <v>0</v>
      </c>
      <c r="N46" s="127"/>
    </row>
    <row r="47" spans="1:14" ht="12.75" customHeight="1">
      <c r="A47" s="108" t="str">
        <f t="shared" si="6"/>
        <v>Waste water management</v>
      </c>
      <c r="B47" s="73"/>
      <c r="C47" s="808">
        <f>B2B!C130</f>
        <v>6170843</v>
      </c>
      <c r="D47" s="808">
        <f>B2B!D130</f>
        <v>0</v>
      </c>
      <c r="E47" s="131">
        <f>B2B!E130</f>
        <v>0</v>
      </c>
      <c r="F47" s="131">
        <f>B2B!F130</f>
        <v>0</v>
      </c>
      <c r="G47" s="131">
        <f>B2B!G130</f>
        <v>0</v>
      </c>
      <c r="H47" s="808">
        <f>B2B!H130</f>
        <v>0</v>
      </c>
      <c r="I47" s="808">
        <f>B2B!I130</f>
        <v>0</v>
      </c>
      <c r="J47" s="171">
        <f>SUM(E47:I47)</f>
        <v>0</v>
      </c>
      <c r="K47" s="171">
        <f>IF(D47=0,C47+J47,D47+J47)</f>
        <v>6170843</v>
      </c>
      <c r="L47" s="808">
        <f>B2B!L130</f>
        <v>6693918</v>
      </c>
      <c r="M47" s="809">
        <f>B2B!M130</f>
        <v>6790402</v>
      </c>
      <c r="N47" s="127"/>
    </row>
    <row r="48" spans="1:14" ht="12.75" customHeight="1">
      <c r="A48" s="108" t="str">
        <f t="shared" si="6"/>
        <v>Waste management</v>
      </c>
      <c r="B48" s="73"/>
      <c r="C48" s="131">
        <f>B2B!C134</f>
        <v>48132229</v>
      </c>
      <c r="D48" s="131">
        <f>B2B!D134</f>
        <v>0</v>
      </c>
      <c r="E48" s="131">
        <f>B2B!E134</f>
        <v>0</v>
      </c>
      <c r="F48" s="131">
        <f>B2B!F134</f>
        <v>0</v>
      </c>
      <c r="G48" s="131">
        <f>B2B!G134</f>
        <v>0</v>
      </c>
      <c r="H48" s="131">
        <f>B2B!H134</f>
        <v>0</v>
      </c>
      <c r="I48" s="131">
        <f>B2B!I134</f>
        <v>-4151</v>
      </c>
      <c r="J48" s="171">
        <f>SUM(E48:I48)</f>
        <v>-4151</v>
      </c>
      <c r="K48" s="171">
        <f>IF(D48=0,C48+J48,D48+J48)</f>
        <v>48128078</v>
      </c>
      <c r="L48" s="131">
        <f>B2B!L134</f>
        <v>49463252</v>
      </c>
      <c r="M48" s="132">
        <f>B2B!M134</f>
        <v>51322562</v>
      </c>
      <c r="N48" s="127"/>
    </row>
    <row r="49" spans="1:14" ht="12.75" customHeight="1">
      <c r="A49" s="107" t="str">
        <f t="shared" si="6"/>
        <v>Other</v>
      </c>
      <c r="B49" s="73"/>
      <c r="C49" s="257">
        <f>B2B!C136</f>
        <v>0</v>
      </c>
      <c r="D49" s="257">
        <f>B2B!D136</f>
        <v>0</v>
      </c>
      <c r="E49" s="257">
        <f>B2B!E136</f>
        <v>0</v>
      </c>
      <c r="F49" s="257">
        <f>B2B!F136</f>
        <v>0</v>
      </c>
      <c r="G49" s="257">
        <f>B2B!G136</f>
        <v>0</v>
      </c>
      <c r="H49" s="257">
        <f>B2B!H136</f>
        <v>0</v>
      </c>
      <c r="I49" s="257">
        <f>B2B!I136</f>
        <v>0</v>
      </c>
      <c r="J49" s="719">
        <f>SUM(E49:I49)</f>
        <v>0</v>
      </c>
      <c r="K49" s="719">
        <f>IF(D49=0,C49+J49,D49+J49)</f>
        <v>0</v>
      </c>
      <c r="L49" s="257">
        <f>B2B!L136</f>
        <v>0</v>
      </c>
      <c r="M49" s="915">
        <f>B2B!M136</f>
        <v>0</v>
      </c>
      <c r="N49" s="127"/>
    </row>
    <row r="50" spans="1:14" ht="12.75" customHeight="1">
      <c r="A50" s="78" t="s">
        <v>676</v>
      </c>
      <c r="B50" s="79">
        <v>3</v>
      </c>
      <c r="C50" s="706">
        <f>C30+C34+C40+C44+C49</f>
        <v>781353718</v>
      </c>
      <c r="D50" s="704">
        <f t="shared" ref="D50:M50" si="11">D30+D34+D40+D44+D49</f>
        <v>0</v>
      </c>
      <c r="E50" s="704">
        <f t="shared" si="11"/>
        <v>0</v>
      </c>
      <c r="F50" s="704">
        <f t="shared" si="11"/>
        <v>0</v>
      </c>
      <c r="G50" s="704">
        <f t="shared" si="11"/>
        <v>0</v>
      </c>
      <c r="H50" s="704">
        <f t="shared" si="11"/>
        <v>0</v>
      </c>
      <c r="I50" s="704">
        <f t="shared" si="11"/>
        <v>18171001</v>
      </c>
      <c r="J50" s="704">
        <f t="shared" si="11"/>
        <v>18171001</v>
      </c>
      <c r="K50" s="704">
        <f t="shared" si="11"/>
        <v>799524719</v>
      </c>
      <c r="L50" s="704">
        <f t="shared" si="11"/>
        <v>839414423</v>
      </c>
      <c r="M50" s="705">
        <f t="shared" si="11"/>
        <v>881658580</v>
      </c>
      <c r="N50" s="127"/>
    </row>
    <row r="51" spans="1:14" ht="12.75" customHeight="1">
      <c r="A51" s="87" t="s">
        <v>611</v>
      </c>
      <c r="B51" s="88"/>
      <c r="C51" s="115">
        <f t="shared" ref="C51:M51" si="12">C27-C50</f>
        <v>69706644</v>
      </c>
      <c r="D51" s="116">
        <f t="shared" si="12"/>
        <v>0</v>
      </c>
      <c r="E51" s="116">
        <f t="shared" si="12"/>
        <v>0</v>
      </c>
      <c r="F51" s="116">
        <f t="shared" si="12"/>
        <v>0</v>
      </c>
      <c r="G51" s="116">
        <f t="shared" si="12"/>
        <v>0</v>
      </c>
      <c r="H51" s="116">
        <f t="shared" si="12"/>
        <v>20350000</v>
      </c>
      <c r="I51" s="116">
        <f t="shared" si="12"/>
        <v>20576613</v>
      </c>
      <c r="J51" s="116">
        <f t="shared" si="12"/>
        <v>40926613</v>
      </c>
      <c r="K51" s="116">
        <f t="shared" si="12"/>
        <v>110633257</v>
      </c>
      <c r="L51" s="116">
        <f t="shared" si="12"/>
        <v>80774108</v>
      </c>
      <c r="M51" s="117">
        <f t="shared" si="12"/>
        <v>127518215</v>
      </c>
      <c r="N51" s="127"/>
    </row>
    <row r="52" spans="1:14" ht="12.75" customHeight="1">
      <c r="A52" s="118" t="str">
        <f>head27a</f>
        <v>References</v>
      </c>
      <c r="B52" s="93"/>
      <c r="C52" s="96"/>
      <c r="D52" s="96"/>
      <c r="E52" s="96"/>
      <c r="F52" s="96"/>
      <c r="G52" s="96"/>
      <c r="H52" s="96"/>
      <c r="I52" s="96"/>
      <c r="J52" s="96"/>
      <c r="K52" s="96"/>
      <c r="L52" s="96"/>
      <c r="M52" s="96"/>
    </row>
    <row r="53" spans="1:14" ht="12.75" customHeight="1">
      <c r="A53" s="119" t="s">
        <v>677</v>
      </c>
      <c r="B53" s="93"/>
      <c r="C53" s="96"/>
      <c r="D53" s="96"/>
      <c r="E53" s="96"/>
      <c r="F53" s="96"/>
      <c r="G53" s="96"/>
      <c r="H53" s="96"/>
      <c r="I53" s="96"/>
      <c r="J53" s="96"/>
      <c r="K53" s="96"/>
      <c r="L53" s="96"/>
      <c r="M53" s="96"/>
    </row>
    <row r="54" spans="1:14" ht="12.75" customHeight="1">
      <c r="A54" s="95" t="s">
        <v>1167</v>
      </c>
      <c r="B54" s="93"/>
      <c r="C54" s="96"/>
      <c r="D54" s="96"/>
      <c r="E54" s="96"/>
      <c r="F54" s="96"/>
      <c r="G54" s="94"/>
      <c r="H54" s="96"/>
      <c r="I54" s="96"/>
      <c r="J54" s="96"/>
      <c r="K54" s="96"/>
      <c r="L54" s="96"/>
      <c r="M54" s="96"/>
    </row>
    <row r="55" spans="1:14" ht="12.75" customHeight="1">
      <c r="A55" s="1329" t="s">
        <v>1168</v>
      </c>
      <c r="B55" s="1329"/>
      <c r="C55" s="1329"/>
      <c r="D55" s="1330"/>
      <c r="E55" s="1330"/>
      <c r="F55" s="1330"/>
      <c r="G55" s="1330"/>
      <c r="H55" s="1330"/>
      <c r="I55" s="1330"/>
      <c r="J55" s="1330"/>
      <c r="K55" s="1330"/>
      <c r="L55" s="1330"/>
      <c r="M55" s="1330"/>
    </row>
    <row r="56" spans="1:14" ht="24" customHeight="1">
      <c r="A56" s="1325" t="s">
        <v>1169</v>
      </c>
      <c r="B56" s="1325"/>
      <c r="C56" s="1325"/>
      <c r="D56" s="1326"/>
      <c r="E56" s="1326"/>
      <c r="F56" s="1326"/>
      <c r="G56" s="1326"/>
      <c r="H56" s="1326"/>
      <c r="I56" s="1326"/>
      <c r="J56" s="1326"/>
      <c r="K56" s="1326"/>
      <c r="L56" s="707"/>
      <c r="M56" s="707"/>
    </row>
    <row r="57" spans="1:14" ht="12.75" customHeight="1">
      <c r="A57" s="1324" t="s">
        <v>1107</v>
      </c>
      <c r="B57" s="1324"/>
      <c r="C57" s="1324"/>
      <c r="D57" s="1324"/>
      <c r="E57" s="1324"/>
      <c r="F57" s="1324"/>
      <c r="G57" s="1324"/>
      <c r="H57" s="1324"/>
      <c r="I57" s="1324"/>
      <c r="J57" s="1324"/>
      <c r="K57" s="1324"/>
      <c r="L57" s="1324"/>
      <c r="M57" s="1324"/>
    </row>
    <row r="58" spans="1:14" ht="26.25" customHeight="1">
      <c r="A58" s="1324" t="s">
        <v>1172</v>
      </c>
      <c r="B58" s="1324"/>
      <c r="C58" s="1324"/>
      <c r="D58" s="1324"/>
      <c r="E58" s="1324"/>
      <c r="F58" s="1324"/>
      <c r="G58" s="1324"/>
      <c r="H58" s="1324"/>
      <c r="I58" s="1324"/>
      <c r="J58" s="1324"/>
      <c r="K58" s="1324"/>
      <c r="L58" s="1324"/>
      <c r="M58" s="1324"/>
    </row>
    <row r="59" spans="1:14" ht="12.75" customHeight="1">
      <c r="A59" s="1318" t="s">
        <v>1173</v>
      </c>
      <c r="B59" s="1318"/>
      <c r="C59" s="1318"/>
      <c r="D59" s="1318"/>
      <c r="E59" s="1318"/>
      <c r="F59" s="1318"/>
      <c r="G59" s="1318"/>
      <c r="H59" s="1318"/>
      <c r="I59" s="1318"/>
      <c r="J59" s="1318"/>
      <c r="K59" s="1318"/>
      <c r="L59" s="1318"/>
      <c r="M59" s="1318"/>
    </row>
    <row r="60" spans="1:14" ht="12.75" customHeight="1">
      <c r="A60" s="1318" t="s">
        <v>1174</v>
      </c>
      <c r="B60" s="1318"/>
      <c r="C60" s="1318"/>
      <c r="D60" s="1318"/>
      <c r="E60" s="1318"/>
      <c r="F60" s="1318"/>
      <c r="G60" s="1318"/>
      <c r="H60" s="1318"/>
      <c r="I60" s="1318"/>
      <c r="J60" s="1318"/>
      <c r="K60" s="1318"/>
      <c r="L60" s="1318"/>
      <c r="M60" s="1318"/>
    </row>
    <row r="61" spans="1:14" ht="12.75" customHeight="1">
      <c r="A61" s="99" t="s">
        <v>1170</v>
      </c>
      <c r="B61" s="93"/>
      <c r="C61" s="96"/>
      <c r="D61" s="96"/>
      <c r="E61" s="96"/>
      <c r="F61" s="96"/>
      <c r="G61" s="96"/>
      <c r="H61" s="96"/>
      <c r="I61" s="96"/>
      <c r="J61" s="96"/>
      <c r="K61" s="96"/>
      <c r="L61" s="96"/>
      <c r="M61" s="96"/>
    </row>
    <row r="62" spans="1:14" ht="25.5" customHeight="1">
      <c r="A62" s="1318" t="s">
        <v>1171</v>
      </c>
      <c r="B62" s="1318"/>
      <c r="C62" s="1318"/>
      <c r="D62" s="1318"/>
      <c r="E62" s="1318"/>
      <c r="F62" s="1318"/>
      <c r="G62" s="1318"/>
      <c r="H62" s="1318"/>
      <c r="I62" s="1318"/>
      <c r="J62" s="1318"/>
      <c r="K62" s="1318"/>
      <c r="L62" s="1318"/>
      <c r="M62" s="1318"/>
    </row>
    <row r="63" spans="1:14" ht="12.75" customHeight="1">
      <c r="A63" s="99" t="s">
        <v>682</v>
      </c>
      <c r="B63" s="93"/>
      <c r="C63" s="96"/>
      <c r="D63" s="96"/>
      <c r="E63" s="96"/>
      <c r="F63" s="96"/>
      <c r="G63" s="96"/>
      <c r="H63" s="96"/>
      <c r="I63" s="96"/>
      <c r="J63" s="96"/>
      <c r="K63" s="96"/>
      <c r="L63" s="96"/>
      <c r="M63" s="96"/>
    </row>
    <row r="64" spans="1:14" ht="12.75" customHeight="1">
      <c r="A64" s="1318" t="s">
        <v>683</v>
      </c>
      <c r="B64" s="1318"/>
      <c r="C64" s="1318"/>
      <c r="D64" s="1318"/>
      <c r="E64" s="1318"/>
      <c r="F64" s="1318"/>
      <c r="G64" s="1318"/>
      <c r="H64" s="1318"/>
      <c r="I64" s="1318"/>
      <c r="J64" s="1318"/>
      <c r="K64" s="1318"/>
      <c r="L64" s="1318"/>
      <c r="M64" s="1318"/>
    </row>
    <row r="65" spans="1:13" ht="12.75" customHeight="1">
      <c r="A65" s="48"/>
      <c r="B65" s="120"/>
      <c r="C65" s="53"/>
      <c r="D65" s="53"/>
      <c r="E65" s="53"/>
      <c r="F65" s="53"/>
      <c r="G65" s="53"/>
      <c r="H65" s="53"/>
      <c r="I65" s="53"/>
      <c r="J65" s="53"/>
      <c r="K65" s="53"/>
      <c r="L65" s="53"/>
      <c r="M65" s="53"/>
    </row>
    <row r="66" spans="1:13" ht="12.75" customHeight="1">
      <c r="A66" s="121"/>
      <c r="B66" s="93"/>
      <c r="C66" s="122"/>
      <c r="D66" s="122"/>
      <c r="E66" s="122"/>
      <c r="F66" s="122"/>
      <c r="G66" s="122"/>
      <c r="H66" s="122"/>
      <c r="I66" s="122"/>
      <c r="J66" s="122"/>
      <c r="K66" s="122"/>
      <c r="L66" s="122"/>
      <c r="M66" s="122"/>
    </row>
    <row r="67" spans="1:13" ht="12.75" customHeight="1">
      <c r="A67" s="121"/>
      <c r="B67" s="93"/>
      <c r="C67" s="122"/>
      <c r="D67" s="122"/>
      <c r="E67" s="122"/>
      <c r="F67" s="122"/>
      <c r="G67" s="122"/>
      <c r="H67" s="122"/>
      <c r="I67" s="122"/>
      <c r="J67" s="122"/>
      <c r="K67" s="122"/>
      <c r="L67" s="122"/>
      <c r="M67" s="122"/>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mergeCells count="11">
    <mergeCell ref="C2:K2"/>
    <mergeCell ref="A56:K56"/>
    <mergeCell ref="A64:M64"/>
    <mergeCell ref="A59:M59"/>
    <mergeCell ref="A60:M60"/>
    <mergeCell ref="A62:M62"/>
    <mergeCell ref="A2:A3"/>
    <mergeCell ref="B2:B3"/>
    <mergeCell ref="A57:M57"/>
    <mergeCell ref="A58:M58"/>
    <mergeCell ref="A55:M55"/>
  </mergeCells>
  <phoneticPr fontId="17"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sheetPr codeName="Sheet1">
    <tabColor indexed="44"/>
  </sheetPr>
  <dimension ref="A1:N167"/>
  <sheetViews>
    <sheetView showGridLines="0" workbookViewId="0">
      <pane xSplit="2" ySplit="5" topLeftCell="C102" activePane="bottomRight" state="frozen"/>
      <selection pane="topRight" activeCell="C1" sqref="C1"/>
      <selection pane="bottomLeft" activeCell="A6" sqref="A6"/>
      <selection pane="bottomRight" activeCell="M111" sqref="M111"/>
    </sheetView>
  </sheetViews>
  <sheetFormatPr defaultRowHeight="12.75"/>
  <cols>
    <col min="1" max="1" width="27.42578125" customWidth="1"/>
    <col min="2" max="2" width="3.85546875" customWidth="1"/>
    <col min="10" max="11" width="9.140625" style="846"/>
  </cols>
  <sheetData>
    <row r="1" spans="1:14">
      <c r="A1" s="57" t="str">
        <f>muni&amp;" - "&amp;_ADJ3&amp;" - B"&amp;" - "&amp;Date</f>
        <v>LIM333 Greater Tzaneen - Table B2 Consolidated Adjustments Budget Financial Performance (standard classification) - B - 26 FEBRUARY 2014</v>
      </c>
      <c r="B1" s="864"/>
      <c r="C1" s="864"/>
    </row>
    <row r="2" spans="1:14" ht="35.25" customHeight="1">
      <c r="A2" s="731" t="str">
        <f>"Standard Classification "&amp;desc</f>
        <v>Standard Classification Description</v>
      </c>
      <c r="B2" s="746" t="str">
        <f>head27</f>
        <v>Ref</v>
      </c>
      <c r="C2" s="1320" t="str">
        <f>Head2</f>
        <v>Budget Year 2013/14</v>
      </c>
      <c r="D2" s="1320"/>
      <c r="E2" s="1320"/>
      <c r="F2" s="1320"/>
      <c r="G2" s="1320"/>
      <c r="H2" s="1320"/>
      <c r="I2" s="1320"/>
      <c r="J2" s="1320"/>
      <c r="K2" s="1320"/>
      <c r="L2" s="103" t="str">
        <f>Head10</f>
        <v>Budget Year +1 2014/15</v>
      </c>
      <c r="M2" s="61" t="str">
        <f>Head11</f>
        <v>Budget Year +2 2015/16</v>
      </c>
    </row>
    <row r="3" spans="1:14" ht="25.5">
      <c r="A3" s="864"/>
      <c r="B3" s="86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298"/>
      <c r="B4" s="747"/>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542</v>
      </c>
      <c r="B5" s="748">
        <v>1</v>
      </c>
      <c r="C5" s="67" t="s">
        <v>583</v>
      </c>
      <c r="D5" s="68" t="s">
        <v>584</v>
      </c>
      <c r="E5" s="68" t="s">
        <v>585</v>
      </c>
      <c r="F5" s="69" t="s">
        <v>586</v>
      </c>
      <c r="G5" s="69" t="s">
        <v>587</v>
      </c>
      <c r="H5" s="69" t="s">
        <v>588</v>
      </c>
      <c r="I5" s="70" t="s">
        <v>589</v>
      </c>
      <c r="J5" s="70" t="s">
        <v>590</v>
      </c>
      <c r="K5" s="70" t="s">
        <v>591</v>
      </c>
      <c r="L5" s="70"/>
      <c r="M5" s="71"/>
    </row>
    <row r="6" spans="1:14" ht="13.5">
      <c r="A6" s="506" t="s">
        <v>653</v>
      </c>
      <c r="B6" s="749"/>
      <c r="C6" s="754"/>
      <c r="D6" s="732"/>
      <c r="E6" s="732"/>
      <c r="F6" s="732"/>
      <c r="G6" s="732"/>
      <c r="H6" s="732"/>
      <c r="I6" s="732"/>
      <c r="J6" s="918"/>
      <c r="K6" s="918"/>
      <c r="L6" s="732"/>
      <c r="M6" s="756"/>
      <c r="N6" s="846"/>
    </row>
    <row r="7" spans="1:14" ht="13.5">
      <c r="A7" s="107" t="s">
        <v>1112</v>
      </c>
      <c r="B7" s="750"/>
      <c r="C7" s="734">
        <f t="shared" ref="C7:M7" si="1">C8+C11+C12</f>
        <v>287832735</v>
      </c>
      <c r="D7" s="733">
        <f t="shared" si="1"/>
        <v>0</v>
      </c>
      <c r="E7" s="733">
        <f t="shared" si="1"/>
        <v>0</v>
      </c>
      <c r="F7" s="733">
        <f t="shared" si="1"/>
        <v>0</v>
      </c>
      <c r="G7" s="733">
        <f t="shared" si="1"/>
        <v>0</v>
      </c>
      <c r="H7" s="733">
        <f t="shared" si="1"/>
        <v>0</v>
      </c>
      <c r="I7" s="733">
        <f t="shared" si="1"/>
        <v>33247614</v>
      </c>
      <c r="J7" s="733">
        <f t="shared" si="1"/>
        <v>33247614</v>
      </c>
      <c r="K7" s="733">
        <f t="shared" si="1"/>
        <v>321080349</v>
      </c>
      <c r="L7" s="733">
        <f t="shared" si="1"/>
        <v>315811641</v>
      </c>
      <c r="M7" s="735">
        <f t="shared" si="1"/>
        <v>373611334</v>
      </c>
      <c r="N7" s="127"/>
    </row>
    <row r="8" spans="1:14" ht="13.5">
      <c r="A8" s="736" t="s">
        <v>655</v>
      </c>
      <c r="B8" s="750"/>
      <c r="C8" s="726">
        <f>SUM(C9:C10)</f>
        <v>0</v>
      </c>
      <c r="D8" s="265">
        <f t="shared" ref="D8:I8" si="2">SUM(D9:D10)</f>
        <v>0</v>
      </c>
      <c r="E8" s="265">
        <f t="shared" si="2"/>
        <v>0</v>
      </c>
      <c r="F8" s="265">
        <f t="shared" si="2"/>
        <v>0</v>
      </c>
      <c r="G8" s="265">
        <f t="shared" si="2"/>
        <v>0</v>
      </c>
      <c r="H8" s="265">
        <f t="shared" si="2"/>
        <v>0</v>
      </c>
      <c r="I8" s="265">
        <f t="shared" si="2"/>
        <v>0</v>
      </c>
      <c r="J8" s="265">
        <f>SUM(J9:J10)</f>
        <v>0</v>
      </c>
      <c r="K8" s="265">
        <f>SUM(K9:K10)</f>
        <v>0</v>
      </c>
      <c r="L8" s="265">
        <f>SUM(L9:L10)</f>
        <v>0</v>
      </c>
      <c r="M8" s="266">
        <f>SUM(M9:M10)</f>
        <v>0</v>
      </c>
      <c r="N8" s="127"/>
    </row>
    <row r="9" spans="1:14" ht="13.5" customHeight="1">
      <c r="A9" s="866" t="s">
        <v>1113</v>
      </c>
      <c r="B9" s="750"/>
      <c r="C9" s="400"/>
      <c r="D9" s="109"/>
      <c r="E9" s="109"/>
      <c r="F9" s="109"/>
      <c r="G9" s="109"/>
      <c r="H9" s="109"/>
      <c r="I9" s="109"/>
      <c r="J9" s="173">
        <f>SUM(E9:I9)</f>
        <v>0</v>
      </c>
      <c r="K9" s="173">
        <f>IF(D9=0,C9+J9,D9+J9)</f>
        <v>0</v>
      </c>
      <c r="L9" s="109"/>
      <c r="M9" s="110"/>
      <c r="N9" s="127"/>
    </row>
    <row r="10" spans="1:14" ht="13.5" customHeight="1">
      <c r="A10" s="866" t="s">
        <v>1114</v>
      </c>
      <c r="B10" s="750"/>
      <c r="C10" s="400"/>
      <c r="D10" s="109"/>
      <c r="E10" s="109"/>
      <c r="F10" s="109"/>
      <c r="G10" s="109"/>
      <c r="H10" s="109"/>
      <c r="I10" s="109"/>
      <c r="J10" s="173">
        <f>SUM(E10:I10)</f>
        <v>0</v>
      </c>
      <c r="K10" s="173">
        <f>IF(D10=0,C10+J10,D10+J10)</f>
        <v>0</v>
      </c>
      <c r="L10" s="109"/>
      <c r="M10" s="110"/>
      <c r="N10" s="127"/>
    </row>
    <row r="11" spans="1:14" ht="13.5" customHeight="1">
      <c r="A11" s="736" t="s">
        <v>656</v>
      </c>
      <c r="B11" s="750"/>
      <c r="C11" s="498">
        <v>287832278</v>
      </c>
      <c r="D11" s="499"/>
      <c r="E11" s="499"/>
      <c r="F11" s="499"/>
      <c r="G11" s="499"/>
      <c r="H11" s="499"/>
      <c r="I11" s="499">
        <f>7445000+9555000+3750000+12497614</f>
        <v>33247614</v>
      </c>
      <c r="J11" s="919">
        <f>SUM(E11:I11)</f>
        <v>33247614</v>
      </c>
      <c r="K11" s="919">
        <f>IF(D11=0,C11+J11,D11+J11)</f>
        <v>321079892</v>
      </c>
      <c r="L11" s="499">
        <v>315811162</v>
      </c>
      <c r="M11" s="499">
        <v>373610831</v>
      </c>
      <c r="N11" s="127"/>
    </row>
    <row r="12" spans="1:14" ht="13.5" customHeight="1">
      <c r="A12" s="736" t="s">
        <v>657</v>
      </c>
      <c r="B12" s="750"/>
      <c r="C12" s="726">
        <f>SUM(C13:C16)</f>
        <v>457</v>
      </c>
      <c r="D12" s="265">
        <f t="shared" ref="D12:I12" si="3">SUM(D13:D16)</f>
        <v>0</v>
      </c>
      <c r="E12" s="265">
        <f t="shared" si="3"/>
        <v>0</v>
      </c>
      <c r="F12" s="265">
        <f t="shared" si="3"/>
        <v>0</v>
      </c>
      <c r="G12" s="265">
        <f t="shared" si="3"/>
        <v>0</v>
      </c>
      <c r="H12" s="265">
        <f t="shared" si="3"/>
        <v>0</v>
      </c>
      <c r="I12" s="265">
        <f t="shared" si="3"/>
        <v>0</v>
      </c>
      <c r="J12" s="265">
        <f>SUM(J13:J16)</f>
        <v>0</v>
      </c>
      <c r="K12" s="265">
        <f>SUM(K13:K16)</f>
        <v>457</v>
      </c>
      <c r="L12" s="265">
        <f>SUM(L13:L16)</f>
        <v>479</v>
      </c>
      <c r="M12" s="266">
        <f>SUM(M13:M16)</f>
        <v>503</v>
      </c>
      <c r="N12" s="127"/>
    </row>
    <row r="13" spans="1:14" ht="13.5" customHeight="1">
      <c r="A13" s="866" t="s">
        <v>1115</v>
      </c>
      <c r="B13" s="750"/>
      <c r="C13" s="400">
        <v>125</v>
      </c>
      <c r="D13" s="109"/>
      <c r="E13" s="109"/>
      <c r="F13" s="109"/>
      <c r="G13" s="109"/>
      <c r="H13" s="109"/>
      <c r="I13" s="109"/>
      <c r="J13" s="173">
        <f>SUM(E13:I13)</f>
        <v>0</v>
      </c>
      <c r="K13" s="173">
        <f>IF(D13=0,C13+J13,D13+J13)</f>
        <v>125</v>
      </c>
      <c r="L13" s="109">
        <v>131</v>
      </c>
      <c r="M13" s="109">
        <v>138</v>
      </c>
      <c r="N13" s="127"/>
    </row>
    <row r="14" spans="1:14" ht="13.5" customHeight="1">
      <c r="A14" s="866" t="s">
        <v>1116</v>
      </c>
      <c r="B14" s="750"/>
      <c r="C14" s="400"/>
      <c r="D14" s="109"/>
      <c r="E14" s="109"/>
      <c r="F14" s="109"/>
      <c r="G14" s="109"/>
      <c r="H14" s="109"/>
      <c r="I14" s="109"/>
      <c r="J14" s="173">
        <f>SUM(E14:I14)</f>
        <v>0</v>
      </c>
      <c r="K14" s="173">
        <f>IF(D14=0,C14+J14,D14+J14)</f>
        <v>0</v>
      </c>
      <c r="L14" s="109"/>
      <c r="M14" s="109"/>
      <c r="N14" s="127"/>
    </row>
    <row r="15" spans="1:14" ht="13.5" customHeight="1">
      <c r="A15" s="866" t="s">
        <v>1117</v>
      </c>
      <c r="B15" s="750"/>
      <c r="C15" s="400"/>
      <c r="D15" s="109"/>
      <c r="E15" s="109"/>
      <c r="F15" s="109"/>
      <c r="G15" s="109"/>
      <c r="H15" s="109"/>
      <c r="I15" s="109"/>
      <c r="J15" s="173">
        <f>SUM(E15:I15)</f>
        <v>0</v>
      </c>
      <c r="K15" s="173">
        <f>IF(D15=0,C15+J15,D15+J15)</f>
        <v>0</v>
      </c>
      <c r="L15" s="109"/>
      <c r="M15" s="109"/>
      <c r="N15" s="127"/>
    </row>
    <row r="16" spans="1:14" ht="13.5" customHeight="1">
      <c r="A16" s="866" t="s">
        <v>1118</v>
      </c>
      <c r="B16" s="750"/>
      <c r="C16" s="400">
        <v>332</v>
      </c>
      <c r="D16" s="109"/>
      <c r="E16" s="109"/>
      <c r="F16" s="109"/>
      <c r="G16" s="109"/>
      <c r="H16" s="109"/>
      <c r="I16" s="109"/>
      <c r="J16" s="173">
        <f>SUM(E16:I16)</f>
        <v>0</v>
      </c>
      <c r="K16" s="173">
        <f>IF(D16=0,C16+J16,D16+J16)</f>
        <v>332</v>
      </c>
      <c r="L16" s="109">
        <v>348</v>
      </c>
      <c r="M16" s="109">
        <v>365</v>
      </c>
      <c r="N16" s="127"/>
    </row>
    <row r="17" spans="1:14" ht="13.5" customHeight="1">
      <c r="A17" s="107" t="s">
        <v>658</v>
      </c>
      <c r="B17" s="750"/>
      <c r="C17" s="734">
        <f>C18+C27+C28+C34+C35</f>
        <v>4110967</v>
      </c>
      <c r="D17" s="733">
        <f t="shared" ref="D17:I17" si="4">D18+D27+D28+D34+D35</f>
        <v>0</v>
      </c>
      <c r="E17" s="733">
        <f t="shared" si="4"/>
        <v>0</v>
      </c>
      <c r="F17" s="733">
        <f t="shared" si="4"/>
        <v>0</v>
      </c>
      <c r="G17" s="733">
        <f t="shared" si="4"/>
        <v>0</v>
      </c>
      <c r="H17" s="733">
        <f t="shared" si="4"/>
        <v>0</v>
      </c>
      <c r="I17" s="733">
        <f t="shared" si="4"/>
        <v>0</v>
      </c>
      <c r="J17" s="733">
        <f>J18+J27+J28+J34+J35</f>
        <v>0</v>
      </c>
      <c r="K17" s="733">
        <f>K18+K27+K28+K34+K35</f>
        <v>4110967</v>
      </c>
      <c r="L17" s="733">
        <f>L18+L27+L28+L34+L35</f>
        <v>4312405</v>
      </c>
      <c r="M17" s="735">
        <f>M18+M27+M28+M34+M35</f>
        <v>4523712</v>
      </c>
      <c r="N17" s="127"/>
    </row>
    <row r="18" spans="1:14" ht="13.5" customHeight="1">
      <c r="A18" s="736" t="s">
        <v>659</v>
      </c>
      <c r="B18" s="750"/>
      <c r="C18" s="737">
        <f t="shared" ref="C18:M18" si="5">SUM(C19:C26)</f>
        <v>124976</v>
      </c>
      <c r="D18" s="270">
        <f t="shared" si="5"/>
        <v>0</v>
      </c>
      <c r="E18" s="270">
        <f t="shared" si="5"/>
        <v>0</v>
      </c>
      <c r="F18" s="270">
        <f t="shared" si="5"/>
        <v>0</v>
      </c>
      <c r="G18" s="270">
        <f t="shared" si="5"/>
        <v>0</v>
      </c>
      <c r="H18" s="270">
        <f t="shared" si="5"/>
        <v>0</v>
      </c>
      <c r="I18" s="270">
        <f t="shared" si="5"/>
        <v>0</v>
      </c>
      <c r="J18" s="270">
        <f t="shared" si="5"/>
        <v>0</v>
      </c>
      <c r="K18" s="270">
        <f t="shared" si="5"/>
        <v>124976</v>
      </c>
      <c r="L18" s="270">
        <f t="shared" si="5"/>
        <v>131100</v>
      </c>
      <c r="M18" s="271">
        <f t="shared" si="5"/>
        <v>137524</v>
      </c>
      <c r="N18" s="127"/>
    </row>
    <row r="19" spans="1:14" ht="13.5" customHeight="1">
      <c r="A19" s="866" t="s">
        <v>1119</v>
      </c>
      <c r="B19" s="750"/>
      <c r="C19" s="400">
        <v>124976</v>
      </c>
      <c r="D19" s="109"/>
      <c r="E19" s="109"/>
      <c r="F19" s="109"/>
      <c r="G19" s="109"/>
      <c r="H19" s="109"/>
      <c r="I19" s="109"/>
      <c r="J19" s="173">
        <f t="shared" ref="J19:J27" si="6">SUM(E19:I19)</f>
        <v>0</v>
      </c>
      <c r="K19" s="173">
        <f t="shared" ref="K19:K27" si="7">IF(D19=0,C19+J19,D19+J19)</f>
        <v>124976</v>
      </c>
      <c r="L19" s="109">
        <v>131100</v>
      </c>
      <c r="M19" s="109">
        <v>137524</v>
      </c>
      <c r="N19" s="127"/>
    </row>
    <row r="20" spans="1:14" ht="13.5" customHeight="1">
      <c r="A20" s="866" t="s">
        <v>1120</v>
      </c>
      <c r="B20" s="750"/>
      <c r="C20" s="400"/>
      <c r="D20" s="109"/>
      <c r="E20" s="109"/>
      <c r="F20" s="109"/>
      <c r="G20" s="109"/>
      <c r="H20" s="109"/>
      <c r="I20" s="109"/>
      <c r="J20" s="173">
        <f t="shared" si="6"/>
        <v>0</v>
      </c>
      <c r="K20" s="173">
        <f t="shared" si="7"/>
        <v>0</v>
      </c>
      <c r="L20" s="109"/>
      <c r="M20" s="109"/>
      <c r="N20" s="127"/>
    </row>
    <row r="21" spans="1:14" ht="13.5" customHeight="1">
      <c r="A21" s="866" t="s">
        <v>1121</v>
      </c>
      <c r="B21" s="750"/>
      <c r="C21" s="400"/>
      <c r="D21" s="109"/>
      <c r="E21" s="109"/>
      <c r="F21" s="109"/>
      <c r="G21" s="109"/>
      <c r="H21" s="109"/>
      <c r="I21" s="109"/>
      <c r="J21" s="173">
        <f t="shared" si="6"/>
        <v>0</v>
      </c>
      <c r="K21" s="173">
        <f t="shared" si="7"/>
        <v>0</v>
      </c>
      <c r="L21" s="109"/>
      <c r="M21" s="109"/>
      <c r="N21" s="127"/>
    </row>
    <row r="22" spans="1:14" ht="13.5" customHeight="1">
      <c r="A22" s="866" t="s">
        <v>1122</v>
      </c>
      <c r="B22" s="750"/>
      <c r="C22" s="400"/>
      <c r="D22" s="109"/>
      <c r="E22" s="109"/>
      <c r="F22" s="109"/>
      <c r="G22" s="109"/>
      <c r="H22" s="109"/>
      <c r="I22" s="109"/>
      <c r="J22" s="173">
        <f t="shared" si="6"/>
        <v>0</v>
      </c>
      <c r="K22" s="173">
        <f t="shared" si="7"/>
        <v>0</v>
      </c>
      <c r="L22" s="109"/>
      <c r="M22" s="109"/>
      <c r="N22" s="127"/>
    </row>
    <row r="23" spans="1:14" ht="13.5" customHeight="1">
      <c r="A23" s="866" t="s">
        <v>1123</v>
      </c>
      <c r="B23" s="750"/>
      <c r="C23" s="400"/>
      <c r="D23" s="109"/>
      <c r="E23" s="109"/>
      <c r="F23" s="109"/>
      <c r="G23" s="109"/>
      <c r="H23" s="109"/>
      <c r="I23" s="109"/>
      <c r="J23" s="173">
        <f t="shared" si="6"/>
        <v>0</v>
      </c>
      <c r="K23" s="173">
        <f t="shared" si="7"/>
        <v>0</v>
      </c>
      <c r="L23" s="109"/>
      <c r="M23" s="109"/>
      <c r="N23" s="127"/>
    </row>
    <row r="24" spans="1:14" ht="13.5" customHeight="1">
      <c r="A24" s="866" t="s">
        <v>1124</v>
      </c>
      <c r="B24" s="750"/>
      <c r="C24" s="400"/>
      <c r="D24" s="109"/>
      <c r="E24" s="109"/>
      <c r="F24" s="109"/>
      <c r="G24" s="109"/>
      <c r="H24" s="109"/>
      <c r="I24" s="109"/>
      <c r="J24" s="173">
        <f t="shared" si="6"/>
        <v>0</v>
      </c>
      <c r="K24" s="173">
        <f t="shared" si="7"/>
        <v>0</v>
      </c>
      <c r="L24" s="109"/>
      <c r="M24" s="109"/>
      <c r="N24" s="127"/>
    </row>
    <row r="25" spans="1:14" ht="13.5" customHeight="1">
      <c r="A25" s="866" t="s">
        <v>1125</v>
      </c>
      <c r="B25" s="750"/>
      <c r="C25" s="400"/>
      <c r="D25" s="109"/>
      <c r="E25" s="109"/>
      <c r="F25" s="109"/>
      <c r="G25" s="109"/>
      <c r="H25" s="109"/>
      <c r="I25" s="109"/>
      <c r="J25" s="173">
        <f t="shared" si="6"/>
        <v>0</v>
      </c>
      <c r="K25" s="173">
        <f t="shared" si="7"/>
        <v>0</v>
      </c>
      <c r="L25" s="109"/>
      <c r="M25" s="109"/>
      <c r="N25" s="127"/>
    </row>
    <row r="26" spans="1:14" ht="13.5" customHeight="1">
      <c r="A26" s="866" t="s">
        <v>1126</v>
      </c>
      <c r="B26" s="750"/>
      <c r="C26" s="400"/>
      <c r="D26" s="109"/>
      <c r="E26" s="109"/>
      <c r="F26" s="109"/>
      <c r="G26" s="109"/>
      <c r="H26" s="109"/>
      <c r="I26" s="109"/>
      <c r="J26" s="173">
        <f t="shared" si="6"/>
        <v>0</v>
      </c>
      <c r="K26" s="173">
        <f t="shared" si="7"/>
        <v>0</v>
      </c>
      <c r="L26" s="109"/>
      <c r="M26" s="109"/>
      <c r="N26" s="127"/>
    </row>
    <row r="27" spans="1:14" ht="13.5" customHeight="1">
      <c r="A27" s="736" t="s">
        <v>660</v>
      </c>
      <c r="B27" s="750"/>
      <c r="C27" s="916">
        <v>512766</v>
      </c>
      <c r="D27" s="917"/>
      <c r="E27" s="917"/>
      <c r="F27" s="917"/>
      <c r="G27" s="917"/>
      <c r="H27" s="917"/>
      <c r="I27" s="917"/>
      <c r="J27" s="920">
        <f t="shared" si="6"/>
        <v>0</v>
      </c>
      <c r="K27" s="920">
        <f t="shared" si="7"/>
        <v>512766</v>
      </c>
      <c r="L27" s="917">
        <v>537892</v>
      </c>
      <c r="M27" s="917">
        <v>564248</v>
      </c>
      <c r="N27" s="127"/>
    </row>
    <row r="28" spans="1:14" ht="13.5" customHeight="1">
      <c r="A28" s="736" t="s">
        <v>661</v>
      </c>
      <c r="B28" s="750"/>
      <c r="C28" s="737">
        <f t="shared" ref="C28:M28" si="8">SUM(C29:C33)</f>
        <v>3001000</v>
      </c>
      <c r="D28" s="270">
        <f t="shared" si="8"/>
        <v>0</v>
      </c>
      <c r="E28" s="270">
        <f t="shared" si="8"/>
        <v>0</v>
      </c>
      <c r="F28" s="270">
        <f t="shared" si="8"/>
        <v>0</v>
      </c>
      <c r="G28" s="270">
        <f t="shared" si="8"/>
        <v>0</v>
      </c>
      <c r="H28" s="270">
        <f t="shared" si="8"/>
        <v>0</v>
      </c>
      <c r="I28" s="270">
        <f t="shared" si="8"/>
        <v>0</v>
      </c>
      <c r="J28" s="270">
        <f t="shared" si="8"/>
        <v>0</v>
      </c>
      <c r="K28" s="270">
        <f t="shared" si="8"/>
        <v>3001000</v>
      </c>
      <c r="L28" s="270">
        <f t="shared" si="8"/>
        <v>3148049</v>
      </c>
      <c r="M28" s="271">
        <f t="shared" si="8"/>
        <v>3302303</v>
      </c>
      <c r="N28" s="127"/>
    </row>
    <row r="29" spans="1:14" ht="13.5" customHeight="1">
      <c r="A29" s="866" t="s">
        <v>1127</v>
      </c>
      <c r="B29" s="750"/>
      <c r="C29" s="400">
        <v>3001000</v>
      </c>
      <c r="D29" s="109"/>
      <c r="E29" s="109"/>
      <c r="F29" s="109"/>
      <c r="G29" s="109"/>
      <c r="H29" s="109"/>
      <c r="I29" s="109"/>
      <c r="J29" s="173">
        <f t="shared" ref="J29:J34" si="9">SUM(E29:I29)</f>
        <v>0</v>
      </c>
      <c r="K29" s="173">
        <f t="shared" ref="K29:K34" si="10">IF(D29=0,C29+J29,D29+J29)</f>
        <v>3001000</v>
      </c>
      <c r="L29" s="109">
        <v>3148049</v>
      </c>
      <c r="M29" s="109">
        <v>3302303</v>
      </c>
      <c r="N29" s="127"/>
    </row>
    <row r="30" spans="1:14" ht="13.5" customHeight="1">
      <c r="A30" s="866" t="s">
        <v>1128</v>
      </c>
      <c r="B30" s="750"/>
      <c r="C30" s="400"/>
      <c r="D30" s="109"/>
      <c r="E30" s="109"/>
      <c r="F30" s="109"/>
      <c r="G30" s="109"/>
      <c r="H30" s="109"/>
      <c r="I30" s="109"/>
      <c r="J30" s="173">
        <f t="shared" si="9"/>
        <v>0</v>
      </c>
      <c r="K30" s="173">
        <f t="shared" si="10"/>
        <v>0</v>
      </c>
      <c r="L30" s="109"/>
      <c r="M30" s="109"/>
      <c r="N30" s="127"/>
    </row>
    <row r="31" spans="1:14" ht="13.5" customHeight="1">
      <c r="A31" s="866" t="s">
        <v>1129</v>
      </c>
      <c r="B31" s="750"/>
      <c r="C31" s="400"/>
      <c r="D31" s="109"/>
      <c r="E31" s="109"/>
      <c r="F31" s="109"/>
      <c r="G31" s="109"/>
      <c r="H31" s="109"/>
      <c r="I31" s="109"/>
      <c r="J31" s="173">
        <f t="shared" si="9"/>
        <v>0</v>
      </c>
      <c r="K31" s="173">
        <f t="shared" si="10"/>
        <v>0</v>
      </c>
      <c r="L31" s="109"/>
      <c r="M31" s="109"/>
      <c r="N31" s="127"/>
    </row>
    <row r="32" spans="1:14" ht="13.5" customHeight="1">
      <c r="A32" s="866" t="s">
        <v>493</v>
      </c>
      <c r="B32" s="750"/>
      <c r="C32" s="400"/>
      <c r="D32" s="109"/>
      <c r="E32" s="109"/>
      <c r="F32" s="109"/>
      <c r="G32" s="109"/>
      <c r="H32" s="109"/>
      <c r="I32" s="109"/>
      <c r="J32" s="173">
        <f t="shared" si="9"/>
        <v>0</v>
      </c>
      <c r="K32" s="173">
        <f t="shared" si="10"/>
        <v>0</v>
      </c>
      <c r="L32" s="109"/>
      <c r="M32" s="109"/>
      <c r="N32" s="127"/>
    </row>
    <row r="33" spans="1:14" ht="13.5" customHeight="1">
      <c r="A33" s="866" t="s">
        <v>673</v>
      </c>
      <c r="B33" s="750"/>
      <c r="C33" s="400"/>
      <c r="D33" s="109"/>
      <c r="E33" s="109"/>
      <c r="F33" s="109"/>
      <c r="G33" s="109"/>
      <c r="H33" s="109"/>
      <c r="I33" s="109"/>
      <c r="J33" s="173">
        <f t="shared" si="9"/>
        <v>0</v>
      </c>
      <c r="K33" s="173">
        <f t="shared" si="10"/>
        <v>0</v>
      </c>
      <c r="L33" s="109"/>
      <c r="M33" s="109"/>
      <c r="N33" s="127"/>
    </row>
    <row r="34" spans="1:14" ht="13.5" customHeight="1">
      <c r="A34" s="736" t="s">
        <v>662</v>
      </c>
      <c r="B34" s="750"/>
      <c r="C34" s="739">
        <v>462225</v>
      </c>
      <c r="D34" s="738"/>
      <c r="E34" s="738"/>
      <c r="F34" s="738"/>
      <c r="G34" s="738"/>
      <c r="H34" s="738"/>
      <c r="I34" s="738"/>
      <c r="J34" s="921">
        <f t="shared" si="9"/>
        <v>0</v>
      </c>
      <c r="K34" s="921">
        <f t="shared" si="10"/>
        <v>462225</v>
      </c>
      <c r="L34" s="738">
        <v>484874</v>
      </c>
      <c r="M34" s="738">
        <v>508633</v>
      </c>
      <c r="N34" s="127"/>
    </row>
    <row r="35" spans="1:14" ht="13.5" customHeight="1">
      <c r="A35" s="736" t="s">
        <v>663</v>
      </c>
      <c r="B35" s="750"/>
      <c r="C35" s="737">
        <f>SUM(C36:C38)</f>
        <v>10000</v>
      </c>
      <c r="D35" s="270">
        <f t="shared" ref="D35:I35" si="11">SUM(D36:D38)</f>
        <v>0</v>
      </c>
      <c r="E35" s="270">
        <f t="shared" si="11"/>
        <v>0</v>
      </c>
      <c r="F35" s="270">
        <f t="shared" si="11"/>
        <v>0</v>
      </c>
      <c r="G35" s="270">
        <f t="shared" si="11"/>
        <v>0</v>
      </c>
      <c r="H35" s="270">
        <f t="shared" si="11"/>
        <v>0</v>
      </c>
      <c r="I35" s="270">
        <f t="shared" si="11"/>
        <v>0</v>
      </c>
      <c r="J35" s="270">
        <f>SUM(J36:J38)</f>
        <v>0</v>
      </c>
      <c r="K35" s="270">
        <f>SUM(K36:K38)</f>
        <v>10000</v>
      </c>
      <c r="L35" s="270">
        <f>SUM(L36:L38)</f>
        <v>10490</v>
      </c>
      <c r="M35" s="271">
        <f>SUM(M36:M38)</f>
        <v>11004</v>
      </c>
      <c r="N35" s="127"/>
    </row>
    <row r="36" spans="1:14" ht="13.5" customHeight="1">
      <c r="A36" s="866" t="s">
        <v>512</v>
      </c>
      <c r="B36" s="750"/>
      <c r="C36" s="400"/>
      <c r="D36" s="109"/>
      <c r="E36" s="109"/>
      <c r="F36" s="109"/>
      <c r="G36" s="109"/>
      <c r="H36" s="109"/>
      <c r="I36" s="109"/>
      <c r="J36" s="173">
        <f>SUM(E36:I36)</f>
        <v>0</v>
      </c>
      <c r="K36" s="173">
        <f>IF(D36=0,C36+J36,D36+J36)</f>
        <v>0</v>
      </c>
      <c r="L36" s="109"/>
      <c r="M36" s="110"/>
      <c r="N36" s="127"/>
    </row>
    <row r="37" spans="1:14" ht="13.5" customHeight="1">
      <c r="A37" s="866" t="s">
        <v>261</v>
      </c>
      <c r="B37" s="750"/>
      <c r="C37" s="400"/>
      <c r="D37" s="109"/>
      <c r="E37" s="109"/>
      <c r="F37" s="109"/>
      <c r="G37" s="109"/>
      <c r="H37" s="109"/>
      <c r="I37" s="109"/>
      <c r="J37" s="173">
        <f>SUM(E37:I37)</f>
        <v>0</v>
      </c>
      <c r="K37" s="173">
        <f>IF(D37=0,C37+J37,D37+J37)</f>
        <v>0</v>
      </c>
      <c r="L37" s="109"/>
      <c r="M37" s="110"/>
      <c r="N37" s="127"/>
    </row>
    <row r="38" spans="1:14" ht="13.5" customHeight="1">
      <c r="A38" s="866" t="s">
        <v>1130</v>
      </c>
      <c r="B38" s="750"/>
      <c r="C38" s="400">
        <v>10000</v>
      </c>
      <c r="D38" s="109"/>
      <c r="E38" s="109"/>
      <c r="F38" s="109"/>
      <c r="G38" s="109"/>
      <c r="H38" s="109"/>
      <c r="I38" s="109"/>
      <c r="J38" s="173">
        <f>SUM(E38:I38)</f>
        <v>0</v>
      </c>
      <c r="K38" s="173">
        <f>IF(D38=0,C38+J38,D38+J38)</f>
        <v>10000</v>
      </c>
      <c r="L38" s="109">
        <v>10490</v>
      </c>
      <c r="M38" s="109">
        <v>11004</v>
      </c>
      <c r="N38" s="127"/>
    </row>
    <row r="39" spans="1:14" ht="13.5" customHeight="1">
      <c r="A39" s="107" t="s">
        <v>664</v>
      </c>
      <c r="B39" s="751"/>
      <c r="C39" s="734">
        <f>C40+C44+C50</f>
        <v>123384005</v>
      </c>
      <c r="D39" s="733">
        <f t="shared" ref="D39:I39" si="12">D40+D44+D50</f>
        <v>0</v>
      </c>
      <c r="E39" s="733">
        <f t="shared" si="12"/>
        <v>0</v>
      </c>
      <c r="F39" s="733">
        <f t="shared" si="12"/>
        <v>0</v>
      </c>
      <c r="G39" s="733">
        <f t="shared" si="12"/>
        <v>0</v>
      </c>
      <c r="H39" s="733">
        <f t="shared" si="12"/>
        <v>18350000</v>
      </c>
      <c r="I39" s="733">
        <f t="shared" si="12"/>
        <v>5500000</v>
      </c>
      <c r="J39" s="733">
        <f>J40+J44+J50</f>
        <v>23850000</v>
      </c>
      <c r="K39" s="733">
        <f>K40+K44+K50</f>
        <v>147234005</v>
      </c>
      <c r="L39" s="733">
        <f>L40+L44+L50</f>
        <v>140999720</v>
      </c>
      <c r="M39" s="735">
        <f>M40+M44+M50</f>
        <v>150952810</v>
      </c>
      <c r="N39" s="127"/>
    </row>
    <row r="40" spans="1:14" ht="13.5" customHeight="1">
      <c r="A40" s="736" t="s">
        <v>665</v>
      </c>
      <c r="B40" s="751"/>
      <c r="C40" s="737">
        <f>SUM(C41:C43)</f>
        <v>5513655</v>
      </c>
      <c r="D40" s="270">
        <f t="shared" ref="D40:I40" si="13">SUM(D41:D43)</f>
        <v>0</v>
      </c>
      <c r="E40" s="270">
        <f t="shared" si="13"/>
        <v>0</v>
      </c>
      <c r="F40" s="270">
        <f t="shared" si="13"/>
        <v>0</v>
      </c>
      <c r="G40" s="270">
        <f t="shared" si="13"/>
        <v>0</v>
      </c>
      <c r="H40" s="270">
        <f t="shared" si="13"/>
        <v>18350000</v>
      </c>
      <c r="I40" s="270">
        <f t="shared" si="13"/>
        <v>5500000</v>
      </c>
      <c r="J40" s="270">
        <f>SUM(J41:J43)</f>
        <v>23850000</v>
      </c>
      <c r="K40" s="270">
        <f>SUM(K41:K43)</f>
        <v>29363655</v>
      </c>
      <c r="L40" s="270">
        <f>SUM(L41:L43)</f>
        <v>7038824</v>
      </c>
      <c r="M40" s="271">
        <f>SUM(M41:M43)</f>
        <v>7565226</v>
      </c>
      <c r="N40" s="127"/>
    </row>
    <row r="41" spans="1:14" ht="13.5" customHeight="1">
      <c r="A41" s="866" t="s">
        <v>1131</v>
      </c>
      <c r="B41" s="751"/>
      <c r="C41" s="400">
        <v>5413655</v>
      </c>
      <c r="D41" s="109"/>
      <c r="E41" s="109"/>
      <c r="F41" s="109"/>
      <c r="G41" s="109"/>
      <c r="H41" s="109">
        <v>18350000</v>
      </c>
      <c r="I41" s="109">
        <v>5500000</v>
      </c>
      <c r="J41" s="173">
        <f>SUM(E41:I41)</f>
        <v>23850000</v>
      </c>
      <c r="K41" s="173">
        <f>IF(D41=0,C41+J41,D41+J41)</f>
        <v>29263655</v>
      </c>
      <c r="L41" s="109">
        <f>433924+6500000</f>
        <v>6933924</v>
      </c>
      <c r="M41" s="109">
        <f>455186+7000000</f>
        <v>7455186</v>
      </c>
      <c r="N41" s="127"/>
    </row>
    <row r="42" spans="1:14" ht="13.5" customHeight="1">
      <c r="A42" s="866" t="s">
        <v>1132</v>
      </c>
      <c r="B42" s="751"/>
      <c r="C42" s="400">
        <v>100000</v>
      </c>
      <c r="D42" s="109"/>
      <c r="E42" s="109"/>
      <c r="F42" s="109"/>
      <c r="G42" s="109"/>
      <c r="H42" s="109"/>
      <c r="I42" s="109"/>
      <c r="J42" s="173">
        <f>SUM(E42:I42)</f>
        <v>0</v>
      </c>
      <c r="K42" s="173">
        <f>IF(D42=0,C42+J42,D42+J42)</f>
        <v>100000</v>
      </c>
      <c r="L42" s="109">
        <v>104900</v>
      </c>
      <c r="M42" s="109">
        <v>110040</v>
      </c>
      <c r="N42" s="127"/>
    </row>
    <row r="43" spans="1:14" ht="13.5" customHeight="1">
      <c r="A43" s="866" t="s">
        <v>1133</v>
      </c>
      <c r="B43" s="751"/>
      <c r="C43" s="400"/>
      <c r="D43" s="109"/>
      <c r="E43" s="109"/>
      <c r="F43" s="109"/>
      <c r="G43" s="109"/>
      <c r="H43" s="109"/>
      <c r="I43" s="109"/>
      <c r="J43" s="173">
        <f>SUM(E43:I43)</f>
        <v>0</v>
      </c>
      <c r="K43" s="173">
        <f>IF(D43=0,C43+J43,D43+J43)</f>
        <v>0</v>
      </c>
      <c r="L43" s="109"/>
      <c r="M43" s="109"/>
      <c r="N43" s="127"/>
    </row>
    <row r="44" spans="1:14" ht="13.5" customHeight="1">
      <c r="A44" s="736" t="s">
        <v>666</v>
      </c>
      <c r="B44" s="751"/>
      <c r="C44" s="737">
        <f>SUM(C45:C49)</f>
        <v>117870350</v>
      </c>
      <c r="D44" s="270">
        <f t="shared" ref="D44:I44" si="14">SUM(D45:D49)</f>
        <v>0</v>
      </c>
      <c r="E44" s="270">
        <f t="shared" si="14"/>
        <v>0</v>
      </c>
      <c r="F44" s="270">
        <f t="shared" si="14"/>
        <v>0</v>
      </c>
      <c r="G44" s="270">
        <f t="shared" si="14"/>
        <v>0</v>
      </c>
      <c r="H44" s="270">
        <f t="shared" si="14"/>
        <v>0</v>
      </c>
      <c r="I44" s="270">
        <f t="shared" si="14"/>
        <v>0</v>
      </c>
      <c r="J44" s="270">
        <f>SUM(J45:J49)</f>
        <v>0</v>
      </c>
      <c r="K44" s="270">
        <f>SUM(K45:K49)</f>
        <v>117870350</v>
      </c>
      <c r="L44" s="270">
        <f>SUM(L45:L49)</f>
        <v>133960896</v>
      </c>
      <c r="M44" s="271">
        <f>SUM(M45:M49)</f>
        <v>143387584</v>
      </c>
      <c r="N44" s="127"/>
    </row>
    <row r="45" spans="1:14" ht="13.5" customHeight="1">
      <c r="A45" s="866" t="s">
        <v>1134</v>
      </c>
      <c r="B45" s="751"/>
      <c r="C45" s="400">
        <v>73397100</v>
      </c>
      <c r="D45" s="109"/>
      <c r="E45" s="109"/>
      <c r="F45" s="109"/>
      <c r="G45" s="109"/>
      <c r="H45" s="109"/>
      <c r="I45" s="109"/>
      <c r="J45" s="173">
        <f>SUM(E45:I45)</f>
        <v>0</v>
      </c>
      <c r="K45" s="173">
        <f>IF(D45=0,C45+J45,D45+J45)</f>
        <v>73397100</v>
      </c>
      <c r="L45" s="109">
        <v>87308457</v>
      </c>
      <c r="M45" s="109">
        <v>94449175</v>
      </c>
      <c r="N45" s="127"/>
    </row>
    <row r="46" spans="1:14" ht="13.5" customHeight="1">
      <c r="A46" s="866" t="s">
        <v>1135</v>
      </c>
      <c r="B46" s="751"/>
      <c r="C46" s="400"/>
      <c r="D46" s="109"/>
      <c r="E46" s="109"/>
      <c r="F46" s="109"/>
      <c r="G46" s="109"/>
      <c r="H46" s="109"/>
      <c r="I46" s="109"/>
      <c r="J46" s="173">
        <f>SUM(E46:I46)</f>
        <v>0</v>
      </c>
      <c r="K46" s="173">
        <f>IF(D46=0,C46+J46,D46+J46)</f>
        <v>0</v>
      </c>
      <c r="L46" s="109"/>
      <c r="M46" s="109"/>
      <c r="N46" s="127"/>
    </row>
    <row r="47" spans="1:14" ht="13.5" customHeight="1">
      <c r="A47" s="866" t="s">
        <v>1136</v>
      </c>
      <c r="B47" s="751"/>
      <c r="C47" s="400"/>
      <c r="D47" s="109"/>
      <c r="E47" s="109"/>
      <c r="F47" s="109"/>
      <c r="G47" s="109"/>
      <c r="H47" s="109"/>
      <c r="I47" s="109"/>
      <c r="J47" s="173">
        <f>SUM(E47:I47)</f>
        <v>0</v>
      </c>
      <c r="K47" s="173">
        <f>IF(D47=0,C47+J47,D47+J47)</f>
        <v>0</v>
      </c>
      <c r="L47" s="109"/>
      <c r="M47" s="109"/>
      <c r="N47" s="127"/>
    </row>
    <row r="48" spans="1:14" ht="13.5" customHeight="1">
      <c r="A48" s="866" t="s">
        <v>1137</v>
      </c>
      <c r="B48" s="751"/>
      <c r="C48" s="400">
        <v>44473250</v>
      </c>
      <c r="D48" s="109"/>
      <c r="E48" s="109"/>
      <c r="F48" s="109"/>
      <c r="G48" s="109"/>
      <c r="H48" s="109"/>
      <c r="I48" s="109"/>
      <c r="J48" s="173">
        <f>SUM(E48:I48)</f>
        <v>0</v>
      </c>
      <c r="K48" s="173">
        <f>IF(D48=0,C48+J48,D48+J48)</f>
        <v>44473250</v>
      </c>
      <c r="L48" s="109">
        <v>46652439</v>
      </c>
      <c r="M48" s="109">
        <v>48938409</v>
      </c>
      <c r="N48" s="127"/>
    </row>
    <row r="49" spans="1:14" ht="13.5" customHeight="1">
      <c r="A49" s="866" t="s">
        <v>673</v>
      </c>
      <c r="B49" s="751"/>
      <c r="C49" s="400"/>
      <c r="D49" s="109"/>
      <c r="E49" s="109"/>
      <c r="F49" s="109"/>
      <c r="G49" s="109"/>
      <c r="H49" s="109"/>
      <c r="I49" s="109"/>
      <c r="J49" s="173">
        <f>SUM(E49:I49)</f>
        <v>0</v>
      </c>
      <c r="K49" s="173">
        <f>IF(D49=0,C49+J49,D49+J49)</f>
        <v>0</v>
      </c>
      <c r="L49" s="109"/>
      <c r="M49" s="110"/>
      <c r="N49" s="127"/>
    </row>
    <row r="50" spans="1:14" ht="13.5" customHeight="1">
      <c r="A50" s="736" t="s">
        <v>667</v>
      </c>
      <c r="B50" s="751"/>
      <c r="C50" s="737">
        <f>SUM(C51:C53)</f>
        <v>0</v>
      </c>
      <c r="D50" s="270">
        <f t="shared" ref="D50:I50" si="15">SUM(D51:D53)</f>
        <v>0</v>
      </c>
      <c r="E50" s="270">
        <f t="shared" si="15"/>
        <v>0</v>
      </c>
      <c r="F50" s="270">
        <f t="shared" si="15"/>
        <v>0</v>
      </c>
      <c r="G50" s="270">
        <f t="shared" si="15"/>
        <v>0</v>
      </c>
      <c r="H50" s="270">
        <f t="shared" si="15"/>
        <v>0</v>
      </c>
      <c r="I50" s="270">
        <f t="shared" si="15"/>
        <v>0</v>
      </c>
      <c r="J50" s="270">
        <f>SUM(J51:J53)</f>
        <v>0</v>
      </c>
      <c r="K50" s="270">
        <f>SUM(K51:K53)</f>
        <v>0</v>
      </c>
      <c r="L50" s="270">
        <f>SUM(L51:L53)</f>
        <v>0</v>
      </c>
      <c r="M50" s="271">
        <f>SUM(M51:M53)</f>
        <v>0</v>
      </c>
      <c r="N50" s="127"/>
    </row>
    <row r="51" spans="1:14" ht="13.5" customHeight="1">
      <c r="A51" s="866" t="s">
        <v>1138</v>
      </c>
      <c r="B51" s="751"/>
      <c r="C51" s="400"/>
      <c r="D51" s="109"/>
      <c r="E51" s="109"/>
      <c r="F51" s="109"/>
      <c r="G51" s="109"/>
      <c r="H51" s="109"/>
      <c r="I51" s="109"/>
      <c r="J51" s="173">
        <f>SUM(E51:I51)</f>
        <v>0</v>
      </c>
      <c r="K51" s="173">
        <f>IF(D51=0,C51+J51,D51+J51)</f>
        <v>0</v>
      </c>
      <c r="L51" s="109"/>
      <c r="M51" s="110"/>
      <c r="N51" s="127"/>
    </row>
    <row r="52" spans="1:14" ht="13.5" customHeight="1">
      <c r="A52" s="866" t="s">
        <v>1139</v>
      </c>
      <c r="B52" s="751"/>
      <c r="C52" s="400"/>
      <c r="D52" s="109"/>
      <c r="E52" s="109"/>
      <c r="F52" s="109"/>
      <c r="G52" s="109"/>
      <c r="H52" s="109"/>
      <c r="I52" s="109"/>
      <c r="J52" s="173">
        <f>SUM(E52:I52)</f>
        <v>0</v>
      </c>
      <c r="K52" s="173">
        <f>IF(D52=0,C52+J52,D52+J52)</f>
        <v>0</v>
      </c>
      <c r="L52" s="109"/>
      <c r="M52" s="110"/>
      <c r="N52" s="127"/>
    </row>
    <row r="53" spans="1:14" ht="13.5" customHeight="1">
      <c r="A53" s="866" t="s">
        <v>673</v>
      </c>
      <c r="B53" s="751"/>
      <c r="C53" s="400"/>
      <c r="D53" s="109"/>
      <c r="E53" s="109"/>
      <c r="F53" s="109"/>
      <c r="G53" s="109"/>
      <c r="H53" s="109"/>
      <c r="I53" s="109"/>
      <c r="J53" s="173">
        <f>SUM(E53:I53)</f>
        <v>0</v>
      </c>
      <c r="K53" s="173">
        <f>IF(D53=0,C53+J53,D53+J53)</f>
        <v>0</v>
      </c>
      <c r="L53" s="109"/>
      <c r="M53" s="110"/>
      <c r="N53" s="127"/>
    </row>
    <row r="54" spans="1:14" ht="13.5" customHeight="1">
      <c r="A54" s="107" t="s">
        <v>668</v>
      </c>
      <c r="B54" s="751"/>
      <c r="C54" s="734">
        <f>C55+C58+C61+C65</f>
        <v>435732655</v>
      </c>
      <c r="D54" s="733">
        <f t="shared" ref="D54:M54" si="16">D55+D58+D61+D65</f>
        <v>0</v>
      </c>
      <c r="E54" s="733">
        <f t="shared" si="16"/>
        <v>0</v>
      </c>
      <c r="F54" s="733">
        <f t="shared" si="16"/>
        <v>0</v>
      </c>
      <c r="G54" s="733">
        <f t="shared" si="16"/>
        <v>0</v>
      </c>
      <c r="H54" s="733">
        <f t="shared" si="16"/>
        <v>2000000</v>
      </c>
      <c r="I54" s="733">
        <f t="shared" si="16"/>
        <v>0</v>
      </c>
      <c r="J54" s="733">
        <f>J55+J58+J61+J65</f>
        <v>2000000</v>
      </c>
      <c r="K54" s="733">
        <f>K55+K58+K61+K65</f>
        <v>437732655</v>
      </c>
      <c r="L54" s="733">
        <f t="shared" si="16"/>
        <v>459064765</v>
      </c>
      <c r="M54" s="735">
        <f t="shared" si="16"/>
        <v>480088939</v>
      </c>
      <c r="N54" s="127"/>
    </row>
    <row r="55" spans="1:14" ht="13.5" customHeight="1">
      <c r="A55" s="736" t="s">
        <v>669</v>
      </c>
      <c r="B55" s="751"/>
      <c r="C55" s="737">
        <f>SUM(C56:C57)</f>
        <v>404524484</v>
      </c>
      <c r="D55" s="270">
        <f t="shared" ref="D55:I55" si="17">SUM(D56:D57)</f>
        <v>0</v>
      </c>
      <c r="E55" s="270">
        <f t="shared" si="17"/>
        <v>0</v>
      </c>
      <c r="F55" s="270">
        <f t="shared" si="17"/>
        <v>0</v>
      </c>
      <c r="G55" s="270">
        <f t="shared" si="17"/>
        <v>0</v>
      </c>
      <c r="H55" s="270">
        <f t="shared" si="17"/>
        <v>2000000</v>
      </c>
      <c r="I55" s="270">
        <f t="shared" si="17"/>
        <v>0</v>
      </c>
      <c r="J55" s="270">
        <f>SUM(J56:J57)</f>
        <v>2000000</v>
      </c>
      <c r="K55" s="270">
        <f>SUM(K56:K57)</f>
        <v>406524484</v>
      </c>
      <c r="L55" s="270">
        <f>SUM(L56:L57)</f>
        <v>428121184</v>
      </c>
      <c r="M55" s="271">
        <f>SUM(M56:M57)</f>
        <v>447629122</v>
      </c>
      <c r="N55" s="127"/>
    </row>
    <row r="56" spans="1:14" ht="13.5" customHeight="1">
      <c r="A56" s="866" t="s">
        <v>1140</v>
      </c>
      <c r="B56" s="751"/>
      <c r="C56" s="400">
        <v>404524484</v>
      </c>
      <c r="D56" s="109"/>
      <c r="E56" s="109"/>
      <c r="F56" s="109"/>
      <c r="G56" s="109"/>
      <c r="H56" s="109">
        <v>2000000</v>
      </c>
      <c r="I56" s="109"/>
      <c r="J56" s="173">
        <f>SUM(E56:I56)</f>
        <v>2000000</v>
      </c>
      <c r="K56" s="173">
        <f>IF(D56=0,C56+J56,D56+J56)</f>
        <v>406524484</v>
      </c>
      <c r="L56" s="109">
        <v>428121184</v>
      </c>
      <c r="M56" s="109">
        <v>447629122</v>
      </c>
      <c r="N56" s="127"/>
    </row>
    <row r="57" spans="1:14" ht="13.5" customHeight="1">
      <c r="A57" s="866" t="s">
        <v>1141</v>
      </c>
      <c r="B57" s="751"/>
      <c r="C57" s="400"/>
      <c r="D57" s="109"/>
      <c r="E57" s="109"/>
      <c r="F57" s="109"/>
      <c r="G57" s="109"/>
      <c r="H57" s="109"/>
      <c r="I57" s="109"/>
      <c r="J57" s="173">
        <f>SUM(E57:I57)</f>
        <v>0</v>
      </c>
      <c r="K57" s="173">
        <f>IF(D57=0,C57+J57,D57+J57)</f>
        <v>0</v>
      </c>
      <c r="L57" s="109"/>
      <c r="M57" s="110"/>
      <c r="N57" s="127"/>
    </row>
    <row r="58" spans="1:14" ht="13.5" customHeight="1">
      <c r="A58" s="736" t="s">
        <v>670</v>
      </c>
      <c r="B58" s="751"/>
      <c r="C58" s="737">
        <f>SUM(C59:C60)</f>
        <v>0</v>
      </c>
      <c r="D58" s="270">
        <f t="shared" ref="D58:I58" si="18">SUM(D59:D60)</f>
        <v>0</v>
      </c>
      <c r="E58" s="270">
        <f t="shared" si="18"/>
        <v>0</v>
      </c>
      <c r="F58" s="270">
        <f t="shared" si="18"/>
        <v>0</v>
      </c>
      <c r="G58" s="270">
        <f t="shared" si="18"/>
        <v>0</v>
      </c>
      <c r="H58" s="270">
        <f t="shared" si="18"/>
        <v>0</v>
      </c>
      <c r="I58" s="270">
        <f t="shared" si="18"/>
        <v>0</v>
      </c>
      <c r="J58" s="270">
        <f>SUM(J59:J60)</f>
        <v>0</v>
      </c>
      <c r="K58" s="270">
        <f>SUM(K59:K60)</f>
        <v>0</v>
      </c>
      <c r="L58" s="270">
        <f>SUM(L59:L60)</f>
        <v>0</v>
      </c>
      <c r="M58" s="271">
        <f>SUM(M59:M60)</f>
        <v>0</v>
      </c>
      <c r="N58" s="127"/>
    </row>
    <row r="59" spans="1:14" ht="13.5" customHeight="1">
      <c r="A59" s="866" t="s">
        <v>1142</v>
      </c>
      <c r="B59" s="751"/>
      <c r="C59" s="400"/>
      <c r="D59" s="109"/>
      <c r="E59" s="109"/>
      <c r="F59" s="109"/>
      <c r="G59" s="109"/>
      <c r="H59" s="109"/>
      <c r="I59" s="109"/>
      <c r="J59" s="173">
        <f>SUM(E59:I59)</f>
        <v>0</v>
      </c>
      <c r="K59" s="173">
        <f>IF(D59=0,C59+J59,D59+J59)</f>
        <v>0</v>
      </c>
      <c r="L59" s="109"/>
      <c r="M59" s="110"/>
      <c r="N59" s="127"/>
    </row>
    <row r="60" spans="1:14" ht="13.5" customHeight="1">
      <c r="A60" s="866" t="s">
        <v>1143</v>
      </c>
      <c r="B60" s="751"/>
      <c r="C60" s="400"/>
      <c r="D60" s="109"/>
      <c r="E60" s="109"/>
      <c r="F60" s="109"/>
      <c r="G60" s="109"/>
      <c r="H60" s="109"/>
      <c r="I60" s="109"/>
      <c r="J60" s="173">
        <f>SUM(E60:I60)</f>
        <v>0</v>
      </c>
      <c r="K60" s="173">
        <f>IF(D60=0,C60+J60,D60+J60)</f>
        <v>0</v>
      </c>
      <c r="L60" s="109"/>
      <c r="M60" s="110"/>
      <c r="N60" s="127"/>
    </row>
    <row r="61" spans="1:14" ht="13.5" customHeight="1">
      <c r="A61" s="736" t="s">
        <v>671</v>
      </c>
      <c r="B61" s="751"/>
      <c r="C61" s="737">
        <f>SUM(C62:C64)</f>
        <v>0</v>
      </c>
      <c r="D61" s="270">
        <f t="shared" ref="D61:I61" si="19">SUM(D62:D64)</f>
        <v>0</v>
      </c>
      <c r="E61" s="270">
        <f t="shared" si="19"/>
        <v>0</v>
      </c>
      <c r="F61" s="270">
        <f t="shared" si="19"/>
        <v>0</v>
      </c>
      <c r="G61" s="270">
        <f t="shared" si="19"/>
        <v>0</v>
      </c>
      <c r="H61" s="270">
        <f t="shared" si="19"/>
        <v>0</v>
      </c>
      <c r="I61" s="270">
        <f t="shared" si="19"/>
        <v>0</v>
      </c>
      <c r="J61" s="270">
        <f>SUM(J62:J64)</f>
        <v>0</v>
      </c>
      <c r="K61" s="270">
        <f>SUM(K62:K64)</f>
        <v>0</v>
      </c>
      <c r="L61" s="270">
        <f>SUM(L62:L64)</f>
        <v>0</v>
      </c>
      <c r="M61" s="271">
        <f>SUM(M62:M64)</f>
        <v>0</v>
      </c>
      <c r="N61" s="127"/>
    </row>
    <row r="62" spans="1:14" ht="13.5" customHeight="1">
      <c r="A62" s="866" t="s">
        <v>1144</v>
      </c>
      <c r="B62" s="751"/>
      <c r="C62" s="400"/>
      <c r="D62" s="109"/>
      <c r="E62" s="109"/>
      <c r="F62" s="109"/>
      <c r="G62" s="109"/>
      <c r="H62" s="109"/>
      <c r="I62" s="109"/>
      <c r="J62" s="173">
        <f>SUM(E62:I62)</f>
        <v>0</v>
      </c>
      <c r="K62" s="173">
        <f>IF(D62=0,C62+J62,D62+J62)</f>
        <v>0</v>
      </c>
      <c r="L62" s="109"/>
      <c r="M62" s="110"/>
      <c r="N62" s="127"/>
    </row>
    <row r="63" spans="1:14" ht="13.5" customHeight="1">
      <c r="A63" s="866" t="s">
        <v>1145</v>
      </c>
      <c r="B63" s="751"/>
      <c r="C63" s="400"/>
      <c r="D63" s="109"/>
      <c r="E63" s="109"/>
      <c r="F63" s="109"/>
      <c r="G63" s="109"/>
      <c r="H63" s="109"/>
      <c r="I63" s="109"/>
      <c r="J63" s="173">
        <f>SUM(E63:I63)</f>
        <v>0</v>
      </c>
      <c r="K63" s="173">
        <f>IF(D63=0,C63+J63,D63+J63)</f>
        <v>0</v>
      </c>
      <c r="L63" s="109"/>
      <c r="M63" s="110"/>
      <c r="N63" s="127"/>
    </row>
    <row r="64" spans="1:14" ht="13.5" customHeight="1">
      <c r="A64" s="866" t="s">
        <v>1146</v>
      </c>
      <c r="B64" s="751"/>
      <c r="C64" s="400"/>
      <c r="D64" s="109"/>
      <c r="E64" s="109"/>
      <c r="F64" s="109"/>
      <c r="G64" s="109"/>
      <c r="H64" s="109"/>
      <c r="I64" s="109"/>
      <c r="J64" s="173">
        <f>SUM(E64:I64)</f>
        <v>0</v>
      </c>
      <c r="K64" s="173">
        <f>IF(D64=0,C64+J64,D64+J64)</f>
        <v>0</v>
      </c>
      <c r="L64" s="109"/>
      <c r="M64" s="110"/>
      <c r="N64" s="127"/>
    </row>
    <row r="65" spans="1:14" ht="13.5" customHeight="1">
      <c r="A65" s="736" t="s">
        <v>672</v>
      </c>
      <c r="B65" s="751"/>
      <c r="C65" s="737">
        <f>SUM(C66)</f>
        <v>31208171</v>
      </c>
      <c r="D65" s="270">
        <f t="shared" ref="D65:M65" si="20">SUM(D66)</f>
        <v>0</v>
      </c>
      <c r="E65" s="270">
        <f t="shared" si="20"/>
        <v>0</v>
      </c>
      <c r="F65" s="270">
        <f t="shared" si="20"/>
        <v>0</v>
      </c>
      <c r="G65" s="270">
        <f t="shared" si="20"/>
        <v>0</v>
      </c>
      <c r="H65" s="270">
        <f t="shared" si="20"/>
        <v>0</v>
      </c>
      <c r="I65" s="270">
        <f t="shared" si="20"/>
        <v>0</v>
      </c>
      <c r="J65" s="270">
        <f t="shared" si="20"/>
        <v>0</v>
      </c>
      <c r="K65" s="270">
        <f t="shared" si="20"/>
        <v>31208171</v>
      </c>
      <c r="L65" s="270">
        <f t="shared" si="20"/>
        <v>30943581</v>
      </c>
      <c r="M65" s="271">
        <f t="shared" si="20"/>
        <v>32459817</v>
      </c>
      <c r="N65" s="127"/>
    </row>
    <row r="66" spans="1:14" ht="13.5" customHeight="1">
      <c r="A66" s="866" t="s">
        <v>1147</v>
      </c>
      <c r="B66" s="751"/>
      <c r="C66" s="400">
        <v>31208171</v>
      </c>
      <c r="D66" s="109"/>
      <c r="E66" s="109"/>
      <c r="F66" s="109"/>
      <c r="G66" s="109"/>
      <c r="H66" s="109"/>
      <c r="I66" s="109"/>
      <c r="J66" s="173">
        <f>SUM(E66:I66)</f>
        <v>0</v>
      </c>
      <c r="K66" s="173">
        <f>IF(D66=0,C66+J66,D66+J66)</f>
        <v>31208171</v>
      </c>
      <c r="L66" s="109">
        <v>30943581</v>
      </c>
      <c r="M66" s="109">
        <v>32459817</v>
      </c>
      <c r="N66" s="127"/>
    </row>
    <row r="67" spans="1:14" ht="13.5" customHeight="1">
      <c r="A67" s="107" t="s">
        <v>673</v>
      </c>
      <c r="B67" s="751"/>
      <c r="C67" s="734">
        <f t="shared" ref="C67:M67" si="21">SUM(C68:C72)</f>
        <v>0</v>
      </c>
      <c r="D67" s="733">
        <f t="shared" si="21"/>
        <v>0</v>
      </c>
      <c r="E67" s="733">
        <f t="shared" si="21"/>
        <v>0</v>
      </c>
      <c r="F67" s="733">
        <f t="shared" si="21"/>
        <v>0</v>
      </c>
      <c r="G67" s="733">
        <f t="shared" si="21"/>
        <v>0</v>
      </c>
      <c r="H67" s="733">
        <f t="shared" si="21"/>
        <v>0</v>
      </c>
      <c r="I67" s="733">
        <f t="shared" si="21"/>
        <v>0</v>
      </c>
      <c r="J67" s="733">
        <f t="shared" si="21"/>
        <v>0</v>
      </c>
      <c r="K67" s="733">
        <f t="shared" si="21"/>
        <v>0</v>
      </c>
      <c r="L67" s="733">
        <f t="shared" si="21"/>
        <v>0</v>
      </c>
      <c r="M67" s="735">
        <f t="shared" si="21"/>
        <v>0</v>
      </c>
      <c r="N67" s="127"/>
    </row>
    <row r="68" spans="1:14" ht="13.5" customHeight="1">
      <c r="A68" s="736" t="s">
        <v>1148</v>
      </c>
      <c r="B68" s="751"/>
      <c r="C68" s="400"/>
      <c r="D68" s="109"/>
      <c r="E68" s="109"/>
      <c r="F68" s="109"/>
      <c r="G68" s="109"/>
      <c r="H68" s="109"/>
      <c r="I68" s="109"/>
      <c r="J68" s="173">
        <f>SUM(E68:I68)</f>
        <v>0</v>
      </c>
      <c r="K68" s="173">
        <f>IF(D68=0,C68+J68,D68+J68)</f>
        <v>0</v>
      </c>
      <c r="L68" s="109"/>
      <c r="M68" s="110"/>
      <c r="N68" s="127"/>
    </row>
    <row r="69" spans="1:14" ht="13.5" customHeight="1">
      <c r="A69" s="736" t="s">
        <v>524</v>
      </c>
      <c r="B69" s="751"/>
      <c r="C69" s="400"/>
      <c r="D69" s="109"/>
      <c r="E69" s="109"/>
      <c r="F69" s="109"/>
      <c r="G69" s="109"/>
      <c r="H69" s="109"/>
      <c r="I69" s="109"/>
      <c r="J69" s="173">
        <f>SUM(E69:I69)</f>
        <v>0</v>
      </c>
      <c r="K69" s="173">
        <f>IF(D69=0,C69+J69,D69+J69)</f>
        <v>0</v>
      </c>
      <c r="L69" s="109"/>
      <c r="M69" s="110"/>
      <c r="N69" s="127"/>
    </row>
    <row r="70" spans="1:14" ht="13.5" customHeight="1">
      <c r="A70" s="736" t="s">
        <v>1149</v>
      </c>
      <c r="B70" s="751"/>
      <c r="C70" s="400"/>
      <c r="D70" s="109"/>
      <c r="E70" s="109"/>
      <c r="F70" s="109"/>
      <c r="G70" s="109"/>
      <c r="H70" s="109"/>
      <c r="I70" s="109"/>
      <c r="J70" s="173">
        <f>SUM(E70:I70)</f>
        <v>0</v>
      </c>
      <c r="K70" s="173">
        <f>IF(D70=0,C70+J70,D70+J70)</f>
        <v>0</v>
      </c>
      <c r="L70" s="109"/>
      <c r="M70" s="110"/>
      <c r="N70" s="127"/>
    </row>
    <row r="71" spans="1:14" ht="13.5" customHeight="1">
      <c r="A71" s="736" t="s">
        <v>1150</v>
      </c>
      <c r="B71" s="750"/>
      <c r="C71" s="400"/>
      <c r="D71" s="109"/>
      <c r="E71" s="109"/>
      <c r="F71" s="109"/>
      <c r="G71" s="109"/>
      <c r="H71" s="109"/>
      <c r="I71" s="109"/>
      <c r="J71" s="173">
        <f>SUM(E71:I71)</f>
        <v>0</v>
      </c>
      <c r="K71" s="173">
        <f>IF(D71=0,C71+J71,D71+J71)</f>
        <v>0</v>
      </c>
      <c r="L71" s="109"/>
      <c r="M71" s="110"/>
      <c r="N71" s="127"/>
    </row>
    <row r="72" spans="1:14" ht="13.5" customHeight="1">
      <c r="A72" s="736" t="s">
        <v>525</v>
      </c>
      <c r="B72" s="750"/>
      <c r="C72" s="400"/>
      <c r="D72" s="109"/>
      <c r="E72" s="109"/>
      <c r="F72" s="109"/>
      <c r="G72" s="109"/>
      <c r="H72" s="109"/>
      <c r="I72" s="109"/>
      <c r="J72" s="173">
        <f>SUM(E72:I72)</f>
        <v>0</v>
      </c>
      <c r="K72" s="173">
        <f>IF(D72=0,C72+J72,D72+J72)</f>
        <v>0</v>
      </c>
      <c r="L72" s="109"/>
      <c r="M72" s="110"/>
      <c r="N72" s="127"/>
    </row>
    <row r="73" spans="1:14" ht="13.5" customHeight="1">
      <c r="A73" s="278" t="str">
        <f>"Total "&amp;A6</f>
        <v>Total Revenue - Standard</v>
      </c>
      <c r="B73" s="750">
        <v>2</v>
      </c>
      <c r="C73" s="597">
        <f>C7+C17+C39+C54+C67</f>
        <v>851060362</v>
      </c>
      <c r="D73" s="595">
        <f t="shared" ref="D73:I73" si="22">D7+D17+D39+D54+D67</f>
        <v>0</v>
      </c>
      <c r="E73" s="595">
        <f t="shared" si="22"/>
        <v>0</v>
      </c>
      <c r="F73" s="595">
        <f t="shared" si="22"/>
        <v>0</v>
      </c>
      <c r="G73" s="595">
        <f t="shared" si="22"/>
        <v>0</v>
      </c>
      <c r="H73" s="595">
        <f t="shared" si="22"/>
        <v>20350000</v>
      </c>
      <c r="I73" s="595">
        <f t="shared" si="22"/>
        <v>38747614</v>
      </c>
      <c r="J73" s="595">
        <f>J7+J17+J39+J54+J67</f>
        <v>59097614</v>
      </c>
      <c r="K73" s="595">
        <f>K7+K17+K39+K54+K67</f>
        <v>910157976</v>
      </c>
      <c r="L73" s="595">
        <f>L7+L17+L39+L54+L67</f>
        <v>920188531</v>
      </c>
      <c r="M73" s="740">
        <f>M7+M17+M39+M54+M67</f>
        <v>1009176795</v>
      </c>
      <c r="N73" s="127"/>
    </row>
    <row r="74" spans="1:14" ht="6" customHeight="1">
      <c r="A74" s="277"/>
      <c r="B74" s="750"/>
      <c r="C74" s="240"/>
      <c r="D74" s="75"/>
      <c r="E74" s="75"/>
      <c r="F74" s="75"/>
      <c r="G74" s="75"/>
      <c r="H74" s="75"/>
      <c r="I74" s="75"/>
      <c r="J74" s="171"/>
      <c r="K74" s="171"/>
      <c r="L74" s="75"/>
      <c r="M74" s="76"/>
      <c r="N74" s="127"/>
    </row>
    <row r="75" spans="1:14" ht="13.5" customHeight="1">
      <c r="A75" s="255" t="s">
        <v>675</v>
      </c>
      <c r="B75" s="752"/>
      <c r="C75" s="240"/>
      <c r="D75" s="75"/>
      <c r="E75" s="75"/>
      <c r="F75" s="75"/>
      <c r="G75" s="75"/>
      <c r="H75" s="75"/>
      <c r="I75" s="75"/>
      <c r="J75" s="171"/>
      <c r="K75" s="171"/>
      <c r="L75" s="75"/>
      <c r="M75" s="76"/>
      <c r="N75" s="127"/>
    </row>
    <row r="76" spans="1:14" ht="13.5" customHeight="1">
      <c r="A76" s="107" t="str">
        <f>A7</f>
        <v>Municipal governance and administration</v>
      </c>
      <c r="B76" s="752"/>
      <c r="C76" s="734">
        <f t="shared" ref="C76:I76" si="23">C77+C80+C81</f>
        <v>148637753</v>
      </c>
      <c r="D76" s="733">
        <f t="shared" si="23"/>
        <v>0</v>
      </c>
      <c r="E76" s="733">
        <f t="shared" si="23"/>
        <v>0</v>
      </c>
      <c r="F76" s="733">
        <f t="shared" si="23"/>
        <v>0</v>
      </c>
      <c r="G76" s="733">
        <f t="shared" si="23"/>
        <v>0</v>
      </c>
      <c r="H76" s="733">
        <f t="shared" si="23"/>
        <v>0</v>
      </c>
      <c r="I76" s="733">
        <f t="shared" si="23"/>
        <v>7766484</v>
      </c>
      <c r="J76" s="733">
        <f>J77+J80+J81</f>
        <v>7766484</v>
      </c>
      <c r="K76" s="733">
        <f>K77+K80+K81</f>
        <v>156404237</v>
      </c>
      <c r="L76" s="733">
        <f>L77+L80+L81</f>
        <v>156337939</v>
      </c>
      <c r="M76" s="735">
        <f>M77+M80+M81</f>
        <v>163612404</v>
      </c>
      <c r="N76" s="127"/>
    </row>
    <row r="77" spans="1:14" ht="13.5" customHeight="1">
      <c r="A77" s="736" t="str">
        <f t="shared" ref="A77:A140" si="24">A8</f>
        <v>Executive and council</v>
      </c>
      <c r="B77" s="752"/>
      <c r="C77" s="726">
        <f t="shared" ref="C77:I77" si="25">SUM(C78:C79)</f>
        <v>31990493</v>
      </c>
      <c r="D77" s="265">
        <f t="shared" si="25"/>
        <v>0</v>
      </c>
      <c r="E77" s="265">
        <f t="shared" si="25"/>
        <v>0</v>
      </c>
      <c r="F77" s="265">
        <f t="shared" si="25"/>
        <v>0</v>
      </c>
      <c r="G77" s="265">
        <f t="shared" si="25"/>
        <v>0</v>
      </c>
      <c r="H77" s="265">
        <f t="shared" si="25"/>
        <v>0</v>
      </c>
      <c r="I77" s="265">
        <f t="shared" si="25"/>
        <v>453089</v>
      </c>
      <c r="J77" s="265">
        <f>SUM(J78:J79)</f>
        <v>453089</v>
      </c>
      <c r="K77" s="265">
        <f>SUM(K78:K79)</f>
        <v>32443582</v>
      </c>
      <c r="L77" s="265">
        <f>SUM(L78:L79)</f>
        <v>33680640</v>
      </c>
      <c r="M77" s="266">
        <f>SUM(M78:M79)</f>
        <v>35286110</v>
      </c>
      <c r="N77" s="127"/>
    </row>
    <row r="78" spans="1:14" ht="13.5" customHeight="1">
      <c r="A78" s="866" t="str">
        <f t="shared" si="24"/>
        <v>Mayor and Council</v>
      </c>
      <c r="B78" s="752"/>
      <c r="C78" s="400">
        <v>28283046</v>
      </c>
      <c r="D78" s="109"/>
      <c r="E78" s="109"/>
      <c r="F78" s="109"/>
      <c r="G78" s="109"/>
      <c r="H78" s="109"/>
      <c r="I78" s="109">
        <f>82000+300000+80000</f>
        <v>462000</v>
      </c>
      <c r="J78" s="173">
        <f>SUM(E78:I78)</f>
        <v>462000</v>
      </c>
      <c r="K78" s="173">
        <f>IF(D78=0,C78+J78,D78+J78)</f>
        <v>28745046</v>
      </c>
      <c r="L78" s="109">
        <v>29668915</v>
      </c>
      <c r="M78" s="109">
        <v>31122692</v>
      </c>
      <c r="N78" s="127"/>
    </row>
    <row r="79" spans="1:14" ht="13.5" customHeight="1">
      <c r="A79" s="866" t="str">
        <f t="shared" si="24"/>
        <v>Municipal Manager</v>
      </c>
      <c r="B79" s="752"/>
      <c r="C79" s="400">
        <v>3707447</v>
      </c>
      <c r="D79" s="109"/>
      <c r="E79" s="109"/>
      <c r="F79" s="109"/>
      <c r="G79" s="109"/>
      <c r="H79" s="109"/>
      <c r="I79" s="109">
        <v>-8911</v>
      </c>
      <c r="J79" s="173">
        <f>SUM(E79:I79)</f>
        <v>-8911</v>
      </c>
      <c r="K79" s="173">
        <f>IF(D79=0,C79+J79,D79+J79)</f>
        <v>3698536</v>
      </c>
      <c r="L79" s="109">
        <v>4011725</v>
      </c>
      <c r="M79" s="109">
        <v>4163418</v>
      </c>
      <c r="N79" s="127"/>
    </row>
    <row r="80" spans="1:14" ht="13.5" customHeight="1">
      <c r="A80" s="736" t="str">
        <f t="shared" si="24"/>
        <v>Budget and treasury office</v>
      </c>
      <c r="B80" s="752"/>
      <c r="C80" s="498">
        <v>60100585</v>
      </c>
      <c r="D80" s="499"/>
      <c r="E80" s="499"/>
      <c r="F80" s="499"/>
      <c r="G80" s="499"/>
      <c r="H80" s="499"/>
      <c r="I80" s="499">
        <f>-7931-5158-5158-4937-14702+26000</f>
        <v>-11886</v>
      </c>
      <c r="J80" s="919">
        <f>SUM(E80:I80)</f>
        <v>-11886</v>
      </c>
      <c r="K80" s="919">
        <f>IF(D80=0,C80+J80,D80+J80)</f>
        <v>60088699</v>
      </c>
      <c r="L80" s="499">
        <v>63142567</v>
      </c>
      <c r="M80" s="499">
        <v>66150506</v>
      </c>
      <c r="N80" s="127"/>
    </row>
    <row r="81" spans="1:14" ht="13.5" customHeight="1">
      <c r="A81" s="736" t="str">
        <f t="shared" si="24"/>
        <v>Corporate services</v>
      </c>
      <c r="B81" s="752"/>
      <c r="C81" s="726">
        <f t="shared" ref="C81:I81" si="26">SUM(C82:C85)</f>
        <v>56546675</v>
      </c>
      <c r="D81" s="265">
        <f t="shared" si="26"/>
        <v>0</v>
      </c>
      <c r="E81" s="265">
        <f t="shared" si="26"/>
        <v>0</v>
      </c>
      <c r="F81" s="265">
        <f t="shared" si="26"/>
        <v>0</v>
      </c>
      <c r="G81" s="265">
        <f t="shared" si="26"/>
        <v>0</v>
      </c>
      <c r="H81" s="265">
        <f t="shared" si="26"/>
        <v>0</v>
      </c>
      <c r="I81" s="265">
        <f t="shared" si="26"/>
        <v>7325281</v>
      </c>
      <c r="J81" s="265">
        <f>SUM(J82:J85)</f>
        <v>7325281</v>
      </c>
      <c r="K81" s="265">
        <f>SUM(K82:K85)</f>
        <v>63871956</v>
      </c>
      <c r="L81" s="265">
        <f>SUM(L82:L85)</f>
        <v>59514732</v>
      </c>
      <c r="M81" s="266">
        <f>SUM(M82:M85)</f>
        <v>62175788</v>
      </c>
      <c r="N81" s="127"/>
    </row>
    <row r="82" spans="1:14" ht="13.5" customHeight="1">
      <c r="A82" s="866" t="str">
        <f t="shared" si="24"/>
        <v>Human Resources</v>
      </c>
      <c r="B82" s="752"/>
      <c r="C82" s="400">
        <v>10118827</v>
      </c>
      <c r="D82" s="109"/>
      <c r="E82" s="109"/>
      <c r="F82" s="109"/>
      <c r="G82" s="109"/>
      <c r="H82" s="109"/>
      <c r="I82" s="109">
        <f>-4814-3031</f>
        <v>-7845</v>
      </c>
      <c r="J82" s="173">
        <f>SUM(E82:I82)</f>
        <v>-7845</v>
      </c>
      <c r="K82" s="173">
        <f>IF(D82=0,C82+J82,D82+J82)</f>
        <v>10110982</v>
      </c>
      <c r="L82" s="109">
        <v>10859877</v>
      </c>
      <c r="M82" s="109">
        <v>11218507</v>
      </c>
      <c r="N82" s="127"/>
    </row>
    <row r="83" spans="1:14" ht="13.5" customHeight="1">
      <c r="A83" s="866" t="str">
        <f t="shared" si="24"/>
        <v>Information Technology</v>
      </c>
      <c r="B83" s="752"/>
      <c r="C83" s="400">
        <v>6946419</v>
      </c>
      <c r="D83" s="109"/>
      <c r="E83" s="109"/>
      <c r="F83" s="109"/>
      <c r="G83" s="109"/>
      <c r="H83" s="109"/>
      <c r="I83" s="109">
        <f>200000-5158</f>
        <v>194842</v>
      </c>
      <c r="J83" s="173">
        <f>SUM(E83:I83)</f>
        <v>194842</v>
      </c>
      <c r="K83" s="173">
        <f>IF(D83=0,C83+J83,D83+J83)</f>
        <v>7141261</v>
      </c>
      <c r="L83" s="109">
        <v>7286794</v>
      </c>
      <c r="M83" s="109">
        <v>7643846</v>
      </c>
      <c r="N83" s="127"/>
    </row>
    <row r="84" spans="1:14" ht="13.5" customHeight="1">
      <c r="A84" s="866" t="str">
        <f t="shared" si="24"/>
        <v>Property Services</v>
      </c>
      <c r="B84" s="752"/>
      <c r="C84" s="400">
        <v>4548221</v>
      </c>
      <c r="D84" s="109"/>
      <c r="E84" s="109"/>
      <c r="F84" s="109"/>
      <c r="G84" s="109"/>
      <c r="H84" s="109"/>
      <c r="I84" s="109">
        <f>-270000-5158</f>
        <v>-275158</v>
      </c>
      <c r="J84" s="173">
        <f>SUM(E84:I84)</f>
        <v>-275158</v>
      </c>
      <c r="K84" s="173">
        <f>IF(D84=0,C84+J84,D84+J84)</f>
        <v>4273063</v>
      </c>
      <c r="L84" s="109">
        <v>4771084</v>
      </c>
      <c r="M84" s="109">
        <v>5004867</v>
      </c>
      <c r="N84" s="127"/>
    </row>
    <row r="85" spans="1:14" ht="13.5" customHeight="1">
      <c r="A85" s="866" t="str">
        <f t="shared" si="24"/>
        <v>Other Admin</v>
      </c>
      <c r="B85" s="752"/>
      <c r="C85" s="400">
        <v>34933208</v>
      </c>
      <c r="D85" s="109"/>
      <c r="E85" s="109"/>
      <c r="F85" s="109"/>
      <c r="G85" s="109"/>
      <c r="H85" s="109"/>
      <c r="I85" s="109">
        <f>7445000-962-4648-5158-5158-5158-5158-158-5158</f>
        <v>7413442</v>
      </c>
      <c r="J85" s="173">
        <f>SUM(E85:I85)</f>
        <v>7413442</v>
      </c>
      <c r="K85" s="173">
        <f>IF(D85=0,C85+J85,D85+J85)</f>
        <v>42346650</v>
      </c>
      <c r="L85" s="109">
        <v>36596977</v>
      </c>
      <c r="M85" s="109">
        <v>38308568</v>
      </c>
      <c r="N85" s="127"/>
    </row>
    <row r="86" spans="1:14" ht="13.5" customHeight="1">
      <c r="A86" s="107" t="str">
        <f t="shared" si="24"/>
        <v>Community and public safety</v>
      </c>
      <c r="B86" s="752"/>
      <c r="C86" s="734">
        <f t="shared" ref="C86:I86" si="27">C87+C96+C97+C103+C104</f>
        <v>78445782</v>
      </c>
      <c r="D86" s="733">
        <f t="shared" si="27"/>
        <v>0</v>
      </c>
      <c r="E86" s="733">
        <f t="shared" si="27"/>
        <v>0</v>
      </c>
      <c r="F86" s="733">
        <f t="shared" si="27"/>
        <v>0</v>
      </c>
      <c r="G86" s="733">
        <f t="shared" si="27"/>
        <v>0</v>
      </c>
      <c r="H86" s="733">
        <f t="shared" si="27"/>
        <v>0</v>
      </c>
      <c r="I86" s="733">
        <f t="shared" si="27"/>
        <v>-21715</v>
      </c>
      <c r="J86" s="733">
        <f>J87+J96+J97+J103+J104</f>
        <v>-21715</v>
      </c>
      <c r="K86" s="733">
        <f>K87+K96+K97+K103+K104</f>
        <v>78424067</v>
      </c>
      <c r="L86" s="733">
        <f>L87+L96+L97+L103+L104</f>
        <v>82338671</v>
      </c>
      <c r="M86" s="735">
        <f>M87+M96+M97+M103+M104</f>
        <v>86705345</v>
      </c>
      <c r="N86" s="127"/>
    </row>
    <row r="87" spans="1:14" ht="13.5" customHeight="1">
      <c r="A87" s="736" t="str">
        <f t="shared" si="24"/>
        <v>Community and social services</v>
      </c>
      <c r="B87" s="752"/>
      <c r="C87" s="737">
        <f t="shared" ref="C87:I87" si="28">SUM(C88:C95)</f>
        <v>5124893</v>
      </c>
      <c r="D87" s="270">
        <f t="shared" si="28"/>
        <v>0</v>
      </c>
      <c r="E87" s="270">
        <f t="shared" si="28"/>
        <v>0</v>
      </c>
      <c r="F87" s="270">
        <f t="shared" si="28"/>
        <v>0</v>
      </c>
      <c r="G87" s="270">
        <f t="shared" si="28"/>
        <v>0</v>
      </c>
      <c r="H87" s="270">
        <f t="shared" si="28"/>
        <v>0</v>
      </c>
      <c r="I87" s="270">
        <f t="shared" si="28"/>
        <v>-4842</v>
      </c>
      <c r="J87" s="270">
        <f>SUM(J88:J95)</f>
        <v>-4842</v>
      </c>
      <c r="K87" s="270">
        <f>SUM(K88:K95)</f>
        <v>5120051</v>
      </c>
      <c r="L87" s="270">
        <f>SUM(L88:L95)</f>
        <v>5376013</v>
      </c>
      <c r="M87" s="271">
        <f>SUM(M88:M95)</f>
        <v>5639437</v>
      </c>
      <c r="N87" s="127"/>
    </row>
    <row r="88" spans="1:14" ht="13.5" customHeight="1">
      <c r="A88" s="866" t="str">
        <f t="shared" si="24"/>
        <v>Libraries and Archives</v>
      </c>
      <c r="B88" s="752"/>
      <c r="C88" s="400">
        <v>5124893</v>
      </c>
      <c r="D88" s="109"/>
      <c r="E88" s="109"/>
      <c r="F88" s="109"/>
      <c r="G88" s="109"/>
      <c r="H88" s="109"/>
      <c r="I88" s="109">
        <v>-4842</v>
      </c>
      <c r="J88" s="173">
        <f t="shared" ref="J88:J96" si="29">SUM(E88:I88)</f>
        <v>-4842</v>
      </c>
      <c r="K88" s="173">
        <f t="shared" ref="K88:K96" si="30">IF(D88=0,C88+J88,D88+J88)</f>
        <v>5120051</v>
      </c>
      <c r="L88" s="109">
        <v>5376013</v>
      </c>
      <c r="M88" s="109">
        <v>5639437</v>
      </c>
      <c r="N88" s="127"/>
    </row>
    <row r="89" spans="1:14" ht="13.5" customHeight="1">
      <c r="A89" s="866" t="str">
        <f t="shared" si="24"/>
        <v>Museums &amp; Art Galleries etc</v>
      </c>
      <c r="B89" s="752"/>
      <c r="C89" s="400"/>
      <c r="D89" s="109"/>
      <c r="E89" s="109"/>
      <c r="F89" s="109"/>
      <c r="G89" s="109"/>
      <c r="H89" s="109"/>
      <c r="I89" s="109"/>
      <c r="J89" s="173">
        <f t="shared" si="29"/>
        <v>0</v>
      </c>
      <c r="K89" s="173">
        <f t="shared" si="30"/>
        <v>0</v>
      </c>
      <c r="L89" s="109"/>
      <c r="M89" s="109"/>
      <c r="N89" s="127"/>
    </row>
    <row r="90" spans="1:14" ht="13.5" customHeight="1">
      <c r="A90" s="866" t="str">
        <f t="shared" si="24"/>
        <v>Community halls and Facilities</v>
      </c>
      <c r="B90" s="752"/>
      <c r="C90" s="400"/>
      <c r="D90" s="109"/>
      <c r="E90" s="109"/>
      <c r="F90" s="109"/>
      <c r="G90" s="109"/>
      <c r="H90" s="109"/>
      <c r="I90" s="109"/>
      <c r="J90" s="173">
        <f t="shared" si="29"/>
        <v>0</v>
      </c>
      <c r="K90" s="173">
        <f t="shared" si="30"/>
        <v>0</v>
      </c>
      <c r="L90" s="109"/>
      <c r="M90" s="109"/>
      <c r="N90" s="127"/>
    </row>
    <row r="91" spans="1:14" ht="13.5" customHeight="1">
      <c r="A91" s="866" t="str">
        <f t="shared" si="24"/>
        <v>Cemeteries &amp; Crematoriums</v>
      </c>
      <c r="B91" s="752"/>
      <c r="C91" s="400"/>
      <c r="D91" s="109"/>
      <c r="E91" s="109"/>
      <c r="F91" s="109"/>
      <c r="G91" s="109"/>
      <c r="H91" s="109"/>
      <c r="I91" s="109"/>
      <c r="J91" s="173">
        <f t="shared" si="29"/>
        <v>0</v>
      </c>
      <c r="K91" s="173">
        <f t="shared" si="30"/>
        <v>0</v>
      </c>
      <c r="L91" s="109"/>
      <c r="M91" s="109"/>
      <c r="N91" s="127"/>
    </row>
    <row r="92" spans="1:14" ht="13.5" customHeight="1">
      <c r="A92" s="866" t="str">
        <f t="shared" si="24"/>
        <v>Child Care</v>
      </c>
      <c r="B92" s="752"/>
      <c r="C92" s="400"/>
      <c r="D92" s="109"/>
      <c r="E92" s="109"/>
      <c r="F92" s="109"/>
      <c r="G92" s="109"/>
      <c r="H92" s="109"/>
      <c r="I92" s="109"/>
      <c r="J92" s="173">
        <f t="shared" si="29"/>
        <v>0</v>
      </c>
      <c r="K92" s="173">
        <f t="shared" si="30"/>
        <v>0</v>
      </c>
      <c r="L92" s="109"/>
      <c r="M92" s="109"/>
      <c r="N92" s="127"/>
    </row>
    <row r="93" spans="1:14" ht="13.5" customHeight="1">
      <c r="A93" s="866" t="str">
        <f t="shared" si="24"/>
        <v>Aged Care</v>
      </c>
      <c r="B93" s="752"/>
      <c r="C93" s="400"/>
      <c r="D93" s="109"/>
      <c r="E93" s="109"/>
      <c r="F93" s="109"/>
      <c r="G93" s="109"/>
      <c r="H93" s="109"/>
      <c r="I93" s="109"/>
      <c r="J93" s="173">
        <f t="shared" si="29"/>
        <v>0</v>
      </c>
      <c r="K93" s="173">
        <f t="shared" si="30"/>
        <v>0</v>
      </c>
      <c r="L93" s="109"/>
      <c r="M93" s="109"/>
      <c r="N93" s="127"/>
    </row>
    <row r="94" spans="1:14" ht="13.5" customHeight="1">
      <c r="A94" s="866" t="str">
        <f t="shared" si="24"/>
        <v>Other Community</v>
      </c>
      <c r="B94" s="752"/>
      <c r="C94" s="400"/>
      <c r="D94" s="109"/>
      <c r="E94" s="109"/>
      <c r="F94" s="109"/>
      <c r="G94" s="109"/>
      <c r="H94" s="109"/>
      <c r="I94" s="109"/>
      <c r="J94" s="173">
        <f t="shared" si="29"/>
        <v>0</v>
      </c>
      <c r="K94" s="173">
        <f t="shared" si="30"/>
        <v>0</v>
      </c>
      <c r="L94" s="109"/>
      <c r="M94" s="109"/>
      <c r="N94" s="127"/>
    </row>
    <row r="95" spans="1:14" ht="13.5" customHeight="1">
      <c r="A95" s="866" t="str">
        <f t="shared" si="24"/>
        <v>Other Social</v>
      </c>
      <c r="B95" s="752"/>
      <c r="C95" s="400"/>
      <c r="D95" s="109"/>
      <c r="E95" s="109"/>
      <c r="F95" s="109"/>
      <c r="G95" s="109"/>
      <c r="H95" s="109"/>
      <c r="I95" s="109"/>
      <c r="J95" s="173">
        <f t="shared" si="29"/>
        <v>0</v>
      </c>
      <c r="K95" s="173">
        <f t="shared" si="30"/>
        <v>0</v>
      </c>
      <c r="L95" s="109"/>
      <c r="M95" s="109"/>
      <c r="N95" s="127"/>
    </row>
    <row r="96" spans="1:14" ht="13.5" customHeight="1">
      <c r="A96" s="736" t="str">
        <f t="shared" si="24"/>
        <v>Sport and recreation</v>
      </c>
      <c r="B96" s="752"/>
      <c r="C96" s="916">
        <v>23656933</v>
      </c>
      <c r="D96" s="917"/>
      <c r="E96" s="917"/>
      <c r="F96" s="917"/>
      <c r="G96" s="917"/>
      <c r="H96" s="917"/>
      <c r="I96" s="917">
        <v>-958</v>
      </c>
      <c r="J96" s="920">
        <f t="shared" si="29"/>
        <v>-958</v>
      </c>
      <c r="K96" s="920">
        <f t="shared" si="30"/>
        <v>23655975</v>
      </c>
      <c r="L96" s="917">
        <v>24816123</v>
      </c>
      <c r="M96" s="917">
        <v>26032113</v>
      </c>
      <c r="N96" s="127"/>
    </row>
    <row r="97" spans="1:14" ht="13.5" customHeight="1">
      <c r="A97" s="736" t="str">
        <f t="shared" si="24"/>
        <v>Public safety</v>
      </c>
      <c r="B97" s="752"/>
      <c r="C97" s="737">
        <f t="shared" ref="C97:I97" si="31">SUM(C98:C102)</f>
        <v>27373628</v>
      </c>
      <c r="D97" s="270">
        <f t="shared" si="31"/>
        <v>0</v>
      </c>
      <c r="E97" s="270">
        <f t="shared" si="31"/>
        <v>0</v>
      </c>
      <c r="F97" s="270">
        <f t="shared" si="31"/>
        <v>0</v>
      </c>
      <c r="G97" s="270">
        <f t="shared" si="31"/>
        <v>0</v>
      </c>
      <c r="H97" s="270">
        <f t="shared" si="31"/>
        <v>0</v>
      </c>
      <c r="I97" s="270">
        <f t="shared" si="31"/>
        <v>-10316</v>
      </c>
      <c r="J97" s="270">
        <f>SUM(J98:J102)</f>
        <v>-10316</v>
      </c>
      <c r="K97" s="270">
        <f>SUM(K98:K102)</f>
        <v>27363312</v>
      </c>
      <c r="L97" s="270">
        <f>SUM(L98:L102)</f>
        <v>28714936</v>
      </c>
      <c r="M97" s="271">
        <f>SUM(M98:M102)</f>
        <v>30121968</v>
      </c>
      <c r="N97" s="127"/>
    </row>
    <row r="98" spans="1:14" ht="13.5" customHeight="1">
      <c r="A98" s="866" t="str">
        <f t="shared" si="24"/>
        <v>Police</v>
      </c>
      <c r="B98" s="752"/>
      <c r="C98" s="400">
        <v>25008736</v>
      </c>
      <c r="D98" s="109"/>
      <c r="E98" s="109"/>
      <c r="F98" s="109"/>
      <c r="G98" s="109"/>
      <c r="H98" s="109"/>
      <c r="I98" s="109">
        <v>-5158</v>
      </c>
      <c r="J98" s="173">
        <f t="shared" ref="J98:J103" si="32">SUM(E98:I98)</f>
        <v>-5158</v>
      </c>
      <c r="K98" s="173">
        <f t="shared" ref="K98:K103" si="33">IF(D98=0,C98+J98,D98+J98)</f>
        <v>25003578</v>
      </c>
      <c r="L98" s="109">
        <v>26234164</v>
      </c>
      <c r="M98" s="109">
        <v>27519638</v>
      </c>
      <c r="N98" s="127"/>
    </row>
    <row r="99" spans="1:14" ht="13.5" customHeight="1">
      <c r="A99" s="866" t="str">
        <f t="shared" si="24"/>
        <v>Fire</v>
      </c>
      <c r="B99" s="752"/>
      <c r="C99" s="400"/>
      <c r="D99" s="109"/>
      <c r="E99" s="109"/>
      <c r="F99" s="109"/>
      <c r="G99" s="109"/>
      <c r="H99" s="109"/>
      <c r="I99" s="109"/>
      <c r="J99" s="173">
        <f t="shared" si="32"/>
        <v>0</v>
      </c>
      <c r="K99" s="173">
        <f t="shared" si="33"/>
        <v>0</v>
      </c>
      <c r="L99" s="109"/>
      <c r="M99" s="109"/>
      <c r="N99" s="127"/>
    </row>
    <row r="100" spans="1:14" ht="13.5" customHeight="1">
      <c r="A100" s="866" t="str">
        <f t="shared" si="24"/>
        <v>Civil Defence</v>
      </c>
      <c r="B100" s="752"/>
      <c r="C100" s="400"/>
      <c r="D100" s="109"/>
      <c r="E100" s="109"/>
      <c r="F100" s="109"/>
      <c r="G100" s="109"/>
      <c r="H100" s="109"/>
      <c r="I100" s="109"/>
      <c r="J100" s="173">
        <f t="shared" si="32"/>
        <v>0</v>
      </c>
      <c r="K100" s="173">
        <f t="shared" si="33"/>
        <v>0</v>
      </c>
      <c r="L100" s="109"/>
      <c r="M100" s="109"/>
      <c r="N100" s="127"/>
    </row>
    <row r="101" spans="1:14" ht="13.5" customHeight="1">
      <c r="A101" s="866" t="str">
        <f t="shared" si="24"/>
        <v>Street Lighting</v>
      </c>
      <c r="B101" s="752"/>
      <c r="C101" s="400"/>
      <c r="D101" s="109"/>
      <c r="E101" s="109"/>
      <c r="F101" s="109"/>
      <c r="G101" s="109"/>
      <c r="H101" s="109"/>
      <c r="I101" s="109"/>
      <c r="J101" s="173">
        <f t="shared" si="32"/>
        <v>0</v>
      </c>
      <c r="K101" s="173">
        <f t="shared" si="33"/>
        <v>0</v>
      </c>
      <c r="L101" s="109"/>
      <c r="M101" s="109"/>
      <c r="N101" s="127"/>
    </row>
    <row r="102" spans="1:14" ht="13.5" customHeight="1">
      <c r="A102" s="866" t="str">
        <f t="shared" si="24"/>
        <v>Other</v>
      </c>
      <c r="B102" s="752"/>
      <c r="C102" s="400">
        <v>2364892</v>
      </c>
      <c r="D102" s="109"/>
      <c r="E102" s="109"/>
      <c r="F102" s="109"/>
      <c r="G102" s="109"/>
      <c r="H102" s="109"/>
      <c r="I102" s="109">
        <v>-5158</v>
      </c>
      <c r="J102" s="173">
        <f t="shared" si="32"/>
        <v>-5158</v>
      </c>
      <c r="K102" s="173">
        <f t="shared" si="33"/>
        <v>2359734</v>
      </c>
      <c r="L102" s="109">
        <v>2480772</v>
      </c>
      <c r="M102" s="109">
        <v>2602330</v>
      </c>
      <c r="N102" s="127"/>
    </row>
    <row r="103" spans="1:14" ht="13.5" customHeight="1">
      <c r="A103" s="736" t="str">
        <f t="shared" si="24"/>
        <v>Housing</v>
      </c>
      <c r="B103" s="752"/>
      <c r="C103" s="739">
        <v>15431307</v>
      </c>
      <c r="D103" s="738"/>
      <c r="E103" s="738"/>
      <c r="F103" s="738"/>
      <c r="G103" s="738"/>
      <c r="H103" s="738"/>
      <c r="I103" s="738">
        <v>-5158</v>
      </c>
      <c r="J103" s="921">
        <f t="shared" si="32"/>
        <v>-5158</v>
      </c>
      <c r="K103" s="921">
        <f t="shared" si="33"/>
        <v>15426149</v>
      </c>
      <c r="L103" s="738">
        <v>16236486</v>
      </c>
      <c r="M103" s="738">
        <v>17364153</v>
      </c>
      <c r="N103" s="127"/>
    </row>
    <row r="104" spans="1:14" ht="13.5" customHeight="1">
      <c r="A104" s="736" t="str">
        <f t="shared" si="24"/>
        <v>Health</v>
      </c>
      <c r="B104" s="752"/>
      <c r="C104" s="737">
        <f t="shared" ref="C104:I104" si="34">SUM(C105:C107)</f>
        <v>6859021</v>
      </c>
      <c r="D104" s="270">
        <f t="shared" si="34"/>
        <v>0</v>
      </c>
      <c r="E104" s="270">
        <f t="shared" si="34"/>
        <v>0</v>
      </c>
      <c r="F104" s="270">
        <f t="shared" si="34"/>
        <v>0</v>
      </c>
      <c r="G104" s="270">
        <f t="shared" si="34"/>
        <v>0</v>
      </c>
      <c r="H104" s="270">
        <f t="shared" si="34"/>
        <v>0</v>
      </c>
      <c r="I104" s="270">
        <f t="shared" si="34"/>
        <v>-441</v>
      </c>
      <c r="J104" s="270">
        <f>SUM(J105:J107)</f>
        <v>-441</v>
      </c>
      <c r="K104" s="270">
        <f>SUM(K105:K107)</f>
        <v>6858580</v>
      </c>
      <c r="L104" s="270">
        <f>SUM(L105:L107)</f>
        <v>7195113</v>
      </c>
      <c r="M104" s="271">
        <f>SUM(M105:M107)</f>
        <v>7547674</v>
      </c>
      <c r="N104" s="127"/>
    </row>
    <row r="105" spans="1:14" ht="13.5" customHeight="1">
      <c r="A105" s="866" t="str">
        <f t="shared" si="24"/>
        <v>Clinics</v>
      </c>
      <c r="B105" s="752"/>
      <c r="C105" s="400">
        <v>232237</v>
      </c>
      <c r="D105" s="109"/>
      <c r="E105" s="109"/>
      <c r="F105" s="109"/>
      <c r="G105" s="109"/>
      <c r="H105" s="109"/>
      <c r="I105" s="109">
        <v>-441</v>
      </c>
      <c r="J105" s="173">
        <f>SUM(E105:I105)</f>
        <v>-441</v>
      </c>
      <c r="K105" s="173">
        <f>IF(D105=0,C105+J105,D105+J105)</f>
        <v>231796</v>
      </c>
      <c r="L105" s="109">
        <v>243617</v>
      </c>
      <c r="M105" s="109">
        <v>255554</v>
      </c>
      <c r="N105" s="127"/>
    </row>
    <row r="106" spans="1:14" ht="13.5" customHeight="1">
      <c r="A106" s="866" t="str">
        <f t="shared" si="24"/>
        <v>Ambulance</v>
      </c>
      <c r="B106" s="752"/>
      <c r="C106" s="400"/>
      <c r="D106" s="109"/>
      <c r="E106" s="109"/>
      <c r="F106" s="109"/>
      <c r="G106" s="109"/>
      <c r="H106" s="109"/>
      <c r="I106" s="109"/>
      <c r="J106" s="173">
        <f>SUM(E106:I106)</f>
        <v>0</v>
      </c>
      <c r="K106" s="173">
        <f>IF(D106=0,C106+J106,D106+J106)</f>
        <v>0</v>
      </c>
      <c r="L106" s="109"/>
      <c r="M106" s="109"/>
      <c r="N106" s="127"/>
    </row>
    <row r="107" spans="1:14" ht="13.5" customHeight="1">
      <c r="A107" s="866" t="str">
        <f t="shared" si="24"/>
        <v xml:space="preserve">Other   </v>
      </c>
      <c r="B107" s="752"/>
      <c r="C107" s="400">
        <v>6626784</v>
      </c>
      <c r="D107" s="109"/>
      <c r="E107" s="109"/>
      <c r="F107" s="109"/>
      <c r="G107" s="109"/>
      <c r="H107" s="109"/>
      <c r="I107" s="109"/>
      <c r="J107" s="173">
        <f>SUM(E107:I107)</f>
        <v>0</v>
      </c>
      <c r="K107" s="173">
        <f>IF(D107=0,C107+J107,D107+J107)</f>
        <v>6626784</v>
      </c>
      <c r="L107" s="109">
        <v>6951496</v>
      </c>
      <c r="M107" s="109">
        <v>7292120</v>
      </c>
      <c r="N107" s="127"/>
    </row>
    <row r="108" spans="1:14" ht="13.5" customHeight="1">
      <c r="A108" s="107" t="str">
        <f t="shared" si="24"/>
        <v>Economic and environmental services</v>
      </c>
      <c r="B108" s="752"/>
      <c r="C108" s="734">
        <f t="shared" ref="C108:I108" si="35">C109+C113+C119</f>
        <v>142928383</v>
      </c>
      <c r="D108" s="733">
        <f t="shared" si="35"/>
        <v>0</v>
      </c>
      <c r="E108" s="733">
        <f t="shared" si="35"/>
        <v>0</v>
      </c>
      <c r="F108" s="733">
        <f t="shared" si="35"/>
        <v>0</v>
      </c>
      <c r="G108" s="733">
        <f t="shared" si="35"/>
        <v>0</v>
      </c>
      <c r="H108" s="733">
        <f t="shared" si="35"/>
        <v>0</v>
      </c>
      <c r="I108" s="733">
        <f t="shared" si="35"/>
        <v>5242388</v>
      </c>
      <c r="J108" s="733">
        <f>J109+J113+J119</f>
        <v>5242388</v>
      </c>
      <c r="K108" s="733">
        <f>K109+K113+K119</f>
        <v>148170771</v>
      </c>
      <c r="L108" s="733">
        <f>L109+L113+L119</f>
        <v>161388192</v>
      </c>
      <c r="M108" s="735">
        <f>M109+M113+M119</f>
        <v>168908092</v>
      </c>
      <c r="N108" s="127"/>
    </row>
    <row r="109" spans="1:14" ht="13.5" customHeight="1">
      <c r="A109" s="736" t="str">
        <f t="shared" si="24"/>
        <v>Planning and development</v>
      </c>
      <c r="B109" s="752"/>
      <c r="C109" s="737">
        <f t="shared" ref="C109:I109" si="36">SUM(C110:C112)</f>
        <v>13600247</v>
      </c>
      <c r="D109" s="270">
        <f t="shared" si="36"/>
        <v>0</v>
      </c>
      <c r="E109" s="270">
        <f t="shared" si="36"/>
        <v>0</v>
      </c>
      <c r="F109" s="270">
        <f t="shared" si="36"/>
        <v>0</v>
      </c>
      <c r="G109" s="270">
        <f t="shared" si="36"/>
        <v>0</v>
      </c>
      <c r="H109" s="270">
        <f t="shared" si="36"/>
        <v>0</v>
      </c>
      <c r="I109" s="270">
        <f t="shared" si="36"/>
        <v>5479653</v>
      </c>
      <c r="J109" s="270">
        <f>SUM(J110:J112)</f>
        <v>5479653</v>
      </c>
      <c r="K109" s="270">
        <f>SUM(K110:K112)</f>
        <v>19079900</v>
      </c>
      <c r="L109" s="270">
        <f>SUM(L110:L112)</f>
        <v>21354726</v>
      </c>
      <c r="M109" s="271">
        <f>SUM(M110:M112)</f>
        <v>23194319</v>
      </c>
      <c r="N109" s="127"/>
    </row>
    <row r="110" spans="1:14" ht="13.5" customHeight="1">
      <c r="A110" s="866" t="str">
        <f t="shared" si="24"/>
        <v xml:space="preserve">Economic Development/Planning </v>
      </c>
      <c r="B110" s="752"/>
      <c r="C110" s="400">
        <v>9400137</v>
      </c>
      <c r="D110" s="109"/>
      <c r="E110" s="109"/>
      <c r="F110" s="109"/>
      <c r="G110" s="109"/>
      <c r="H110" s="109"/>
      <c r="I110" s="109">
        <f>-10031-5158+5500000</f>
        <v>5484811</v>
      </c>
      <c r="J110" s="173">
        <f>SUM(E110:I110)</f>
        <v>5484811</v>
      </c>
      <c r="K110" s="173">
        <f>IF(D110=0,C110+J110,D110+J110)</f>
        <v>14884948</v>
      </c>
      <c r="L110" s="109">
        <f>10473811+6500000-25000</f>
        <v>16948811</v>
      </c>
      <c r="M110" s="109">
        <f>11600014+7000000-27500</f>
        <v>18572514</v>
      </c>
      <c r="N110" s="127"/>
    </row>
    <row r="111" spans="1:14" ht="13.5" customHeight="1">
      <c r="A111" s="866" t="str">
        <f t="shared" si="24"/>
        <v xml:space="preserve">Town Planning/Building enforcement </v>
      </c>
      <c r="B111" s="752"/>
      <c r="C111" s="400">
        <v>4200110</v>
      </c>
      <c r="D111" s="109"/>
      <c r="E111" s="109"/>
      <c r="F111" s="109"/>
      <c r="G111" s="109"/>
      <c r="H111" s="109"/>
      <c r="I111" s="109">
        <v>-5158</v>
      </c>
      <c r="J111" s="173">
        <f>SUM(E111:I111)</f>
        <v>-5158</v>
      </c>
      <c r="K111" s="173">
        <f>IF(D111=0,C111+J111,D111+J111)</f>
        <v>4194952</v>
      </c>
      <c r="L111" s="109">
        <v>4405915</v>
      </c>
      <c r="M111" s="109">
        <v>4621805</v>
      </c>
      <c r="N111" s="127"/>
    </row>
    <row r="112" spans="1:14" ht="13.5" customHeight="1">
      <c r="A112" s="866" t="str">
        <f t="shared" si="24"/>
        <v>Licensing &amp; Regulation</v>
      </c>
      <c r="B112" s="752"/>
      <c r="C112" s="400"/>
      <c r="D112" s="109"/>
      <c r="E112" s="109"/>
      <c r="F112" s="109"/>
      <c r="G112" s="109"/>
      <c r="H112" s="109"/>
      <c r="I112" s="109"/>
      <c r="J112" s="173">
        <f>SUM(E112:I112)</f>
        <v>0</v>
      </c>
      <c r="K112" s="173">
        <f>IF(D112=0,C112+J112,D112+J112)</f>
        <v>0</v>
      </c>
      <c r="L112" s="109"/>
      <c r="M112" s="109"/>
      <c r="N112" s="127"/>
    </row>
    <row r="113" spans="1:14" ht="13.5" customHeight="1">
      <c r="A113" s="736" t="str">
        <f t="shared" si="24"/>
        <v>Road transport</v>
      </c>
      <c r="B113" s="752"/>
      <c r="C113" s="737">
        <f t="shared" ref="C113:I113" si="37">SUM(C114:C118)</f>
        <v>129328136</v>
      </c>
      <c r="D113" s="270">
        <f t="shared" si="37"/>
        <v>0</v>
      </c>
      <c r="E113" s="270">
        <f t="shared" si="37"/>
        <v>0</v>
      </c>
      <c r="F113" s="270">
        <f t="shared" si="37"/>
        <v>0</v>
      </c>
      <c r="G113" s="270">
        <f t="shared" si="37"/>
        <v>0</v>
      </c>
      <c r="H113" s="270">
        <f t="shared" si="37"/>
        <v>0</v>
      </c>
      <c r="I113" s="270">
        <f t="shared" si="37"/>
        <v>-237265</v>
      </c>
      <c r="J113" s="270">
        <f>SUM(J114:J118)</f>
        <v>-237265</v>
      </c>
      <c r="K113" s="270">
        <f>SUM(K114:K118)</f>
        <v>129090871</v>
      </c>
      <c r="L113" s="270">
        <f>SUM(L114:L118)</f>
        <v>140033466</v>
      </c>
      <c r="M113" s="271">
        <f>SUM(M114:M118)</f>
        <v>145713773</v>
      </c>
      <c r="N113" s="127"/>
    </row>
    <row r="114" spans="1:14" ht="13.5" customHeight="1">
      <c r="A114" s="866" t="str">
        <f t="shared" si="24"/>
        <v>Roads</v>
      </c>
      <c r="B114" s="752"/>
      <c r="C114" s="400">
        <v>93269397</v>
      </c>
      <c r="D114" s="109"/>
      <c r="E114" s="109"/>
      <c r="F114" s="109"/>
      <c r="G114" s="109"/>
      <c r="H114" s="109"/>
      <c r="I114" s="109">
        <f>-50000-165000-9582-5158</f>
        <v>-229740</v>
      </c>
      <c r="J114" s="173">
        <f>SUM(E114:I114)</f>
        <v>-229740</v>
      </c>
      <c r="K114" s="173">
        <f>IF(D114=0,C114+J114,D114+J114)</f>
        <v>93039657</v>
      </c>
      <c r="L114" s="109">
        <v>102085236</v>
      </c>
      <c r="M114" s="109">
        <v>105861360</v>
      </c>
      <c r="N114" s="127"/>
    </row>
    <row r="115" spans="1:14" ht="13.5" customHeight="1">
      <c r="A115" s="866" t="str">
        <f t="shared" si="24"/>
        <v>Public Buses</v>
      </c>
      <c r="B115" s="752"/>
      <c r="C115" s="400"/>
      <c r="D115" s="109"/>
      <c r="E115" s="109"/>
      <c r="F115" s="109"/>
      <c r="G115" s="109"/>
      <c r="H115" s="109"/>
      <c r="I115" s="109"/>
      <c r="J115" s="173">
        <f>SUM(E115:I115)</f>
        <v>0</v>
      </c>
      <c r="K115" s="173">
        <f>IF(D115=0,C115+J115,D115+J115)</f>
        <v>0</v>
      </c>
      <c r="L115" s="109"/>
      <c r="M115" s="109"/>
      <c r="N115" s="127"/>
    </row>
    <row r="116" spans="1:14" ht="13.5" customHeight="1">
      <c r="A116" s="866" t="str">
        <f t="shared" si="24"/>
        <v>Parking Garages</v>
      </c>
      <c r="B116" s="752"/>
      <c r="C116" s="400"/>
      <c r="D116" s="109"/>
      <c r="E116" s="109"/>
      <c r="F116" s="109"/>
      <c r="G116" s="109"/>
      <c r="H116" s="109"/>
      <c r="I116" s="109"/>
      <c r="J116" s="173">
        <f>SUM(E116:I116)</f>
        <v>0</v>
      </c>
      <c r="K116" s="173">
        <f>IF(D116=0,C116+J116,D116+J116)</f>
        <v>0</v>
      </c>
      <c r="L116" s="109"/>
      <c r="M116" s="109"/>
      <c r="N116" s="127"/>
    </row>
    <row r="117" spans="1:14" ht="13.5" customHeight="1">
      <c r="A117" s="866" t="str">
        <f t="shared" si="24"/>
        <v>Vehicle Licensing and Testing</v>
      </c>
      <c r="B117" s="752"/>
      <c r="C117" s="400">
        <v>36058739</v>
      </c>
      <c r="D117" s="109"/>
      <c r="E117" s="109"/>
      <c r="F117" s="109"/>
      <c r="G117" s="109"/>
      <c r="H117" s="109"/>
      <c r="I117" s="109">
        <f>-2367-5158</f>
        <v>-7525</v>
      </c>
      <c r="J117" s="173">
        <f>SUM(E117:I117)</f>
        <v>-7525</v>
      </c>
      <c r="K117" s="173">
        <f>IF(D117=0,C117+J117,D117+J117)</f>
        <v>36051214</v>
      </c>
      <c r="L117" s="109">
        <v>37948230</v>
      </c>
      <c r="M117" s="109">
        <v>39852413</v>
      </c>
      <c r="N117" s="127"/>
    </row>
    <row r="118" spans="1:14" ht="13.5" customHeight="1">
      <c r="A118" s="866" t="str">
        <f t="shared" si="24"/>
        <v>Other</v>
      </c>
      <c r="B118" s="752"/>
      <c r="C118" s="400"/>
      <c r="D118" s="109"/>
      <c r="E118" s="109"/>
      <c r="F118" s="109"/>
      <c r="G118" s="109"/>
      <c r="H118" s="109"/>
      <c r="I118" s="109"/>
      <c r="J118" s="173">
        <f>SUM(E118:I118)</f>
        <v>0</v>
      </c>
      <c r="K118" s="173">
        <f>IF(D118=0,C118+J118,D118+J118)</f>
        <v>0</v>
      </c>
      <c r="L118" s="109"/>
      <c r="M118" s="110"/>
      <c r="N118" s="127"/>
    </row>
    <row r="119" spans="1:14" ht="13.5" customHeight="1">
      <c r="A119" s="736" t="str">
        <f t="shared" si="24"/>
        <v>Environmental protection</v>
      </c>
      <c r="B119" s="752"/>
      <c r="C119" s="737">
        <f t="shared" ref="C119:I119" si="38">SUM(C120:C122)</f>
        <v>0</v>
      </c>
      <c r="D119" s="270">
        <f t="shared" si="38"/>
        <v>0</v>
      </c>
      <c r="E119" s="270">
        <f t="shared" si="38"/>
        <v>0</v>
      </c>
      <c r="F119" s="270">
        <f t="shared" si="38"/>
        <v>0</v>
      </c>
      <c r="G119" s="270">
        <f t="shared" si="38"/>
        <v>0</v>
      </c>
      <c r="H119" s="270">
        <f t="shared" si="38"/>
        <v>0</v>
      </c>
      <c r="I119" s="270">
        <f t="shared" si="38"/>
        <v>0</v>
      </c>
      <c r="J119" s="270">
        <f>SUM(J120:J122)</f>
        <v>0</v>
      </c>
      <c r="K119" s="270">
        <f>SUM(K120:K122)</f>
        <v>0</v>
      </c>
      <c r="L119" s="270">
        <f>SUM(L120:L122)</f>
        <v>0</v>
      </c>
      <c r="M119" s="271">
        <f>SUM(M120:M122)</f>
        <v>0</v>
      </c>
      <c r="N119" s="127"/>
    </row>
    <row r="120" spans="1:14" ht="13.5" customHeight="1">
      <c r="A120" s="866" t="str">
        <f t="shared" si="24"/>
        <v>Pollution Control</v>
      </c>
      <c r="B120" s="752"/>
      <c r="C120" s="400"/>
      <c r="D120" s="109"/>
      <c r="E120" s="109"/>
      <c r="F120" s="109"/>
      <c r="G120" s="109"/>
      <c r="H120" s="109"/>
      <c r="I120" s="109"/>
      <c r="J120" s="173">
        <f>SUM(E120:I120)</f>
        <v>0</v>
      </c>
      <c r="K120" s="173">
        <f>IF(D120=0,C120+J120,D120+J120)</f>
        <v>0</v>
      </c>
      <c r="L120" s="109"/>
      <c r="M120" s="110"/>
      <c r="N120" s="127"/>
    </row>
    <row r="121" spans="1:14" ht="13.5" customHeight="1">
      <c r="A121" s="866" t="str">
        <f t="shared" si="24"/>
        <v>Biodiversity &amp; Landscape</v>
      </c>
      <c r="B121" s="752"/>
      <c r="C121" s="400"/>
      <c r="D121" s="109"/>
      <c r="E121" s="109"/>
      <c r="F121" s="109"/>
      <c r="G121" s="109"/>
      <c r="H121" s="109"/>
      <c r="I121" s="109"/>
      <c r="J121" s="173">
        <f>SUM(E121:I121)</f>
        <v>0</v>
      </c>
      <c r="K121" s="173">
        <f>IF(D121=0,C121+J121,D121+J121)</f>
        <v>0</v>
      </c>
      <c r="L121" s="109"/>
      <c r="M121" s="110"/>
      <c r="N121" s="127"/>
    </row>
    <row r="122" spans="1:14" ht="13.5" customHeight="1">
      <c r="A122" s="866" t="str">
        <f t="shared" si="24"/>
        <v>Other</v>
      </c>
      <c r="B122" s="752"/>
      <c r="C122" s="400"/>
      <c r="D122" s="109"/>
      <c r="E122" s="109"/>
      <c r="F122" s="109"/>
      <c r="G122" s="109"/>
      <c r="H122" s="109"/>
      <c r="I122" s="109"/>
      <c r="J122" s="173">
        <f>SUM(E122:I122)</f>
        <v>0</v>
      </c>
      <c r="K122" s="173">
        <f>IF(D122=0,C122+J122,D122+J122)</f>
        <v>0</v>
      </c>
      <c r="L122" s="109"/>
      <c r="M122" s="110"/>
      <c r="N122" s="127"/>
    </row>
    <row r="123" spans="1:14" ht="13.5" customHeight="1">
      <c r="A123" s="107" t="str">
        <f t="shared" si="24"/>
        <v>Trading services</v>
      </c>
      <c r="B123" s="752"/>
      <c r="C123" s="734">
        <f>C124+C127+C130+C134</f>
        <v>411341800</v>
      </c>
      <c r="D123" s="733">
        <f t="shared" ref="D123:M123" si="39">D124+D127+D130+D134</f>
        <v>0</v>
      </c>
      <c r="E123" s="733">
        <f t="shared" si="39"/>
        <v>0</v>
      </c>
      <c r="F123" s="733">
        <f t="shared" si="39"/>
        <v>0</v>
      </c>
      <c r="G123" s="733">
        <f t="shared" si="39"/>
        <v>0</v>
      </c>
      <c r="H123" s="733">
        <f t="shared" si="39"/>
        <v>0</v>
      </c>
      <c r="I123" s="733">
        <f t="shared" si="39"/>
        <v>5183844</v>
      </c>
      <c r="J123" s="733">
        <f t="shared" si="39"/>
        <v>5183844</v>
      </c>
      <c r="K123" s="733">
        <f t="shared" si="39"/>
        <v>416525644</v>
      </c>
      <c r="L123" s="733">
        <f t="shared" si="39"/>
        <v>439349621</v>
      </c>
      <c r="M123" s="735">
        <f t="shared" si="39"/>
        <v>462432739</v>
      </c>
      <c r="N123" s="127"/>
    </row>
    <row r="124" spans="1:14" ht="13.5" customHeight="1">
      <c r="A124" s="736" t="str">
        <f t="shared" si="24"/>
        <v>Electricity</v>
      </c>
      <c r="B124" s="752"/>
      <c r="C124" s="737">
        <f t="shared" ref="C124:I124" si="40">SUM(C125:C126)</f>
        <v>357038728</v>
      </c>
      <c r="D124" s="270">
        <f t="shared" si="40"/>
        <v>0</v>
      </c>
      <c r="E124" s="270">
        <f t="shared" si="40"/>
        <v>0</v>
      </c>
      <c r="F124" s="270">
        <f t="shared" si="40"/>
        <v>0</v>
      </c>
      <c r="G124" s="270">
        <f t="shared" si="40"/>
        <v>0</v>
      </c>
      <c r="H124" s="270">
        <f t="shared" si="40"/>
        <v>0</v>
      </c>
      <c r="I124" s="270">
        <f t="shared" si="40"/>
        <v>5187995</v>
      </c>
      <c r="J124" s="270">
        <f>SUM(J125:J126)</f>
        <v>5187995</v>
      </c>
      <c r="K124" s="270">
        <f>SUM(K125:K126)</f>
        <v>362226723</v>
      </c>
      <c r="L124" s="270">
        <f>SUM(L125:L126)</f>
        <v>383192451</v>
      </c>
      <c r="M124" s="271">
        <f>SUM(M125:M126)</f>
        <v>404319775</v>
      </c>
      <c r="N124" s="127"/>
    </row>
    <row r="125" spans="1:14" ht="13.5" customHeight="1">
      <c r="A125" s="866" t="str">
        <f t="shared" si="24"/>
        <v>Electricity Distribution</v>
      </c>
      <c r="B125" s="752"/>
      <c r="C125" s="400">
        <v>357038728</v>
      </c>
      <c r="D125" s="109"/>
      <c r="E125" s="109"/>
      <c r="F125" s="109"/>
      <c r="G125" s="109"/>
      <c r="H125" s="109"/>
      <c r="I125" s="109">
        <f>-1689-5158-5158+5200000</f>
        <v>5187995</v>
      </c>
      <c r="J125" s="173">
        <f>SUM(E125:I125)</f>
        <v>5187995</v>
      </c>
      <c r="K125" s="173">
        <f>IF(D125=0,C125+J125,D125+J125)</f>
        <v>362226723</v>
      </c>
      <c r="L125" s="109">
        <v>383192451</v>
      </c>
      <c r="M125" s="109">
        <v>404319775</v>
      </c>
      <c r="N125" s="127"/>
    </row>
    <row r="126" spans="1:14" ht="13.5" customHeight="1">
      <c r="A126" s="866" t="str">
        <f t="shared" si="24"/>
        <v>Electricity Generation</v>
      </c>
      <c r="B126" s="752"/>
      <c r="C126" s="400"/>
      <c r="D126" s="109"/>
      <c r="E126" s="109"/>
      <c r="F126" s="109"/>
      <c r="G126" s="109"/>
      <c r="H126" s="109"/>
      <c r="I126" s="109"/>
      <c r="J126" s="173">
        <f>SUM(E126:I126)</f>
        <v>0</v>
      </c>
      <c r="K126" s="173">
        <f>IF(D126=0,C126+J126,D126+J126)</f>
        <v>0</v>
      </c>
      <c r="L126" s="109"/>
      <c r="M126" s="110"/>
      <c r="N126" s="127"/>
    </row>
    <row r="127" spans="1:14" ht="13.5" customHeight="1">
      <c r="A127" s="736" t="str">
        <f t="shared" si="24"/>
        <v>Water</v>
      </c>
      <c r="B127" s="752"/>
      <c r="C127" s="737">
        <f t="shared" ref="C127:I127" si="41">SUM(C128:C129)</f>
        <v>0</v>
      </c>
      <c r="D127" s="270">
        <f t="shared" si="41"/>
        <v>0</v>
      </c>
      <c r="E127" s="270">
        <f t="shared" si="41"/>
        <v>0</v>
      </c>
      <c r="F127" s="270">
        <f t="shared" si="41"/>
        <v>0</v>
      </c>
      <c r="G127" s="270">
        <f t="shared" si="41"/>
        <v>0</v>
      </c>
      <c r="H127" s="270">
        <f t="shared" si="41"/>
        <v>0</v>
      </c>
      <c r="I127" s="270">
        <f t="shared" si="41"/>
        <v>0</v>
      </c>
      <c r="J127" s="270">
        <f>SUM(J128:J129)</f>
        <v>0</v>
      </c>
      <c r="K127" s="270">
        <f>SUM(K128:K129)</f>
        <v>0</v>
      </c>
      <c r="L127" s="270">
        <f>SUM(L128:L129)</f>
        <v>0</v>
      </c>
      <c r="M127" s="271">
        <f>SUM(M128:M129)</f>
        <v>0</v>
      </c>
      <c r="N127" s="127"/>
    </row>
    <row r="128" spans="1:14" ht="13.5" customHeight="1">
      <c r="A128" s="866" t="str">
        <f t="shared" si="24"/>
        <v>Water Distribution</v>
      </c>
      <c r="B128" s="752"/>
      <c r="C128" s="400"/>
      <c r="D128" s="109"/>
      <c r="E128" s="109"/>
      <c r="F128" s="109"/>
      <c r="G128" s="109"/>
      <c r="H128" s="109"/>
      <c r="I128" s="109"/>
      <c r="J128" s="173">
        <f>SUM(E128:I128)</f>
        <v>0</v>
      </c>
      <c r="K128" s="173">
        <f>IF(D128=0,C128+J128,D128+J128)</f>
        <v>0</v>
      </c>
      <c r="L128" s="109"/>
      <c r="M128" s="110"/>
      <c r="N128" s="127"/>
    </row>
    <row r="129" spans="1:14" ht="13.5" customHeight="1">
      <c r="A129" s="866" t="str">
        <f t="shared" si="24"/>
        <v>Water Storage</v>
      </c>
      <c r="B129" s="752"/>
      <c r="C129" s="400"/>
      <c r="D129" s="109"/>
      <c r="E129" s="109"/>
      <c r="F129" s="109"/>
      <c r="G129" s="109"/>
      <c r="H129" s="109"/>
      <c r="I129" s="109"/>
      <c r="J129" s="173">
        <f>SUM(E129:I129)</f>
        <v>0</v>
      </c>
      <c r="K129" s="173">
        <f>IF(D129=0,C129+J129,D129+J129)</f>
        <v>0</v>
      </c>
      <c r="L129" s="109"/>
      <c r="M129" s="110"/>
      <c r="N129" s="127"/>
    </row>
    <row r="130" spans="1:14" ht="13.5" customHeight="1">
      <c r="A130" s="736" t="str">
        <f t="shared" si="24"/>
        <v>Waste water management</v>
      </c>
      <c r="B130" s="752"/>
      <c r="C130" s="737">
        <f t="shared" ref="C130:I130" si="42">SUM(C131:C133)</f>
        <v>6170843</v>
      </c>
      <c r="D130" s="270">
        <f t="shared" si="42"/>
        <v>0</v>
      </c>
      <c r="E130" s="270">
        <f t="shared" si="42"/>
        <v>0</v>
      </c>
      <c r="F130" s="270">
        <f t="shared" si="42"/>
        <v>0</v>
      </c>
      <c r="G130" s="270">
        <f t="shared" si="42"/>
        <v>0</v>
      </c>
      <c r="H130" s="270">
        <f t="shared" si="42"/>
        <v>0</v>
      </c>
      <c r="I130" s="270">
        <f t="shared" si="42"/>
        <v>0</v>
      </c>
      <c r="J130" s="270">
        <f>SUM(J131:J133)</f>
        <v>0</v>
      </c>
      <c r="K130" s="270">
        <f>SUM(K131:K133)</f>
        <v>6170843</v>
      </c>
      <c r="L130" s="270">
        <f>SUM(L131:L133)</f>
        <v>6693918</v>
      </c>
      <c r="M130" s="271">
        <f>SUM(M131:M133)</f>
        <v>6790402</v>
      </c>
      <c r="N130" s="127"/>
    </row>
    <row r="131" spans="1:14" ht="13.5" customHeight="1">
      <c r="A131" s="866" t="str">
        <f t="shared" si="24"/>
        <v>Sewerage</v>
      </c>
      <c r="B131" s="752"/>
      <c r="C131" s="400"/>
      <c r="D131" s="109"/>
      <c r="E131" s="109"/>
      <c r="F131" s="109"/>
      <c r="G131" s="109"/>
      <c r="H131" s="109"/>
      <c r="I131" s="109"/>
      <c r="J131" s="173">
        <f>SUM(E131:I131)</f>
        <v>0</v>
      </c>
      <c r="K131" s="173">
        <f>IF(D131=0,C131+J131,D131+J131)</f>
        <v>0</v>
      </c>
      <c r="L131" s="109"/>
      <c r="M131" s="110"/>
      <c r="N131" s="127"/>
    </row>
    <row r="132" spans="1:14" ht="13.5" customHeight="1">
      <c r="A132" s="866" t="str">
        <f t="shared" si="24"/>
        <v>Storm Water Management</v>
      </c>
      <c r="B132" s="752"/>
      <c r="C132" s="400"/>
      <c r="D132" s="109"/>
      <c r="E132" s="109"/>
      <c r="F132" s="109"/>
      <c r="G132" s="109"/>
      <c r="H132" s="109"/>
      <c r="I132" s="109"/>
      <c r="J132" s="173">
        <f>SUM(E132:I132)</f>
        <v>0</v>
      </c>
      <c r="K132" s="173">
        <f>IF(D132=0,C132+J132,D132+J132)</f>
        <v>0</v>
      </c>
      <c r="L132" s="109"/>
      <c r="M132" s="110"/>
      <c r="N132" s="127"/>
    </row>
    <row r="133" spans="1:14" ht="13.5" customHeight="1">
      <c r="A133" s="866" t="str">
        <f t="shared" si="24"/>
        <v>Public Toilets</v>
      </c>
      <c r="B133" s="752"/>
      <c r="C133" s="400">
        <v>6170843</v>
      </c>
      <c r="D133" s="109"/>
      <c r="E133" s="109"/>
      <c r="F133" s="109"/>
      <c r="G133" s="109"/>
      <c r="H133" s="109"/>
      <c r="I133" s="109"/>
      <c r="J133" s="173">
        <f>SUM(E133:I133)</f>
        <v>0</v>
      </c>
      <c r="K133" s="173">
        <f>IF(D133=0,C133+J133,D133+J133)</f>
        <v>6170843</v>
      </c>
      <c r="L133" s="109">
        <v>6693918</v>
      </c>
      <c r="M133" s="109">
        <v>6790402</v>
      </c>
      <c r="N133" s="127"/>
    </row>
    <row r="134" spans="1:14" ht="13.5" customHeight="1">
      <c r="A134" s="736" t="str">
        <f t="shared" si="24"/>
        <v>Waste management</v>
      </c>
      <c r="B134" s="752"/>
      <c r="C134" s="737">
        <f t="shared" ref="C134:M134" si="43">SUM(C135)</f>
        <v>48132229</v>
      </c>
      <c r="D134" s="270">
        <f t="shared" si="43"/>
        <v>0</v>
      </c>
      <c r="E134" s="270">
        <f t="shared" si="43"/>
        <v>0</v>
      </c>
      <c r="F134" s="270">
        <f t="shared" si="43"/>
        <v>0</v>
      </c>
      <c r="G134" s="270">
        <f t="shared" si="43"/>
        <v>0</v>
      </c>
      <c r="H134" s="270">
        <f t="shared" si="43"/>
        <v>0</v>
      </c>
      <c r="I134" s="270">
        <f t="shared" si="43"/>
        <v>-4151</v>
      </c>
      <c r="J134" s="270">
        <f t="shared" si="43"/>
        <v>-4151</v>
      </c>
      <c r="K134" s="270">
        <f t="shared" si="43"/>
        <v>48128078</v>
      </c>
      <c r="L134" s="270">
        <f t="shared" si="43"/>
        <v>49463252</v>
      </c>
      <c r="M134" s="271">
        <f t="shared" si="43"/>
        <v>51322562</v>
      </c>
      <c r="N134" s="127"/>
    </row>
    <row r="135" spans="1:14" ht="13.5" customHeight="1">
      <c r="A135" s="866" t="str">
        <f t="shared" si="24"/>
        <v>Solid Waste</v>
      </c>
      <c r="B135" s="750"/>
      <c r="C135" s="400">
        <v>48132229</v>
      </c>
      <c r="D135" s="109"/>
      <c r="E135" s="109"/>
      <c r="F135" s="109"/>
      <c r="G135" s="109"/>
      <c r="H135" s="109"/>
      <c r="I135" s="109">
        <v>-4151</v>
      </c>
      <c r="J135" s="173">
        <f>SUM(E135:I135)</f>
        <v>-4151</v>
      </c>
      <c r="K135" s="173">
        <f>IF(D135=0,C135+J135,D135+J135)</f>
        <v>48128078</v>
      </c>
      <c r="L135" s="109">
        <v>49463252</v>
      </c>
      <c r="M135" s="109">
        <v>51322562</v>
      </c>
      <c r="N135" s="127"/>
    </row>
    <row r="136" spans="1:14" ht="13.5" customHeight="1">
      <c r="A136" s="107" t="str">
        <f t="shared" si="24"/>
        <v>Other</v>
      </c>
      <c r="B136" s="750"/>
      <c r="C136" s="737">
        <f>SUM(C137:C141)</f>
        <v>0</v>
      </c>
      <c r="D136" s="270">
        <f t="shared" ref="D136:I136" si="44">SUM(D137:D141)</f>
        <v>0</v>
      </c>
      <c r="E136" s="270">
        <f t="shared" si="44"/>
        <v>0</v>
      </c>
      <c r="F136" s="270">
        <f t="shared" si="44"/>
        <v>0</v>
      </c>
      <c r="G136" s="270">
        <f t="shared" si="44"/>
        <v>0</v>
      </c>
      <c r="H136" s="270">
        <f t="shared" si="44"/>
        <v>0</v>
      </c>
      <c r="I136" s="270">
        <f t="shared" si="44"/>
        <v>0</v>
      </c>
      <c r="J136" s="270">
        <f>SUM(J137:J141)</f>
        <v>0</v>
      </c>
      <c r="K136" s="270">
        <f>SUM(K137:K141)</f>
        <v>0</v>
      </c>
      <c r="L136" s="270">
        <f>SUM(L137:L141)</f>
        <v>0</v>
      </c>
      <c r="M136" s="271">
        <f>SUM(M137:M141)</f>
        <v>0</v>
      </c>
      <c r="N136" s="127"/>
    </row>
    <row r="137" spans="1:14" ht="13.5" customHeight="1">
      <c r="A137" s="736" t="str">
        <f t="shared" si="24"/>
        <v>Air Transport</v>
      </c>
      <c r="B137" s="750"/>
      <c r="C137" s="400"/>
      <c r="D137" s="109"/>
      <c r="E137" s="109"/>
      <c r="F137" s="109"/>
      <c r="G137" s="109"/>
      <c r="H137" s="109"/>
      <c r="I137" s="109"/>
      <c r="J137" s="173">
        <f>SUM(E137:I137)</f>
        <v>0</v>
      </c>
      <c r="K137" s="173">
        <f>IF(D137=0,C137+J137,D137+J137)</f>
        <v>0</v>
      </c>
      <c r="L137" s="109"/>
      <c r="M137" s="110"/>
      <c r="N137" s="127"/>
    </row>
    <row r="138" spans="1:14" ht="13.5" customHeight="1">
      <c r="A138" s="736" t="str">
        <f t="shared" si="24"/>
        <v>Abattoirs</v>
      </c>
      <c r="B138" s="750"/>
      <c r="C138" s="400"/>
      <c r="D138" s="109"/>
      <c r="E138" s="109"/>
      <c r="F138" s="109"/>
      <c r="G138" s="109"/>
      <c r="H138" s="109"/>
      <c r="I138" s="109"/>
      <c r="J138" s="173">
        <f>SUM(E138:I138)</f>
        <v>0</v>
      </c>
      <c r="K138" s="173">
        <f>IF(D138=0,C138+J138,D138+J138)</f>
        <v>0</v>
      </c>
      <c r="L138" s="109"/>
      <c r="M138" s="110"/>
      <c r="N138" s="127"/>
    </row>
    <row r="139" spans="1:14" ht="13.5" customHeight="1">
      <c r="A139" s="736" t="str">
        <f t="shared" si="24"/>
        <v>Tourism</v>
      </c>
      <c r="B139" s="750"/>
      <c r="C139" s="400"/>
      <c r="D139" s="109"/>
      <c r="E139" s="109"/>
      <c r="F139" s="109"/>
      <c r="G139" s="109"/>
      <c r="H139" s="109"/>
      <c r="I139" s="109"/>
      <c r="J139" s="173">
        <f>SUM(E139:I139)</f>
        <v>0</v>
      </c>
      <c r="K139" s="173">
        <f>IF(D139=0,C139+J139,D139+J139)</f>
        <v>0</v>
      </c>
      <c r="L139" s="109"/>
      <c r="M139" s="110"/>
      <c r="N139" s="127"/>
    </row>
    <row r="140" spans="1:14" ht="13.5" customHeight="1">
      <c r="A140" s="736" t="str">
        <f t="shared" si="24"/>
        <v>Forestry</v>
      </c>
      <c r="B140" s="750"/>
      <c r="C140" s="400"/>
      <c r="D140" s="109"/>
      <c r="E140" s="109"/>
      <c r="F140" s="109"/>
      <c r="G140" s="109"/>
      <c r="H140" s="109"/>
      <c r="I140" s="109"/>
      <c r="J140" s="173">
        <f>SUM(E140:I140)</f>
        <v>0</v>
      </c>
      <c r="K140" s="173">
        <f>IF(D140=0,C140+J140,D140+J140)</f>
        <v>0</v>
      </c>
      <c r="L140" s="109"/>
      <c r="M140" s="110"/>
      <c r="N140" s="127"/>
    </row>
    <row r="141" spans="1:14" ht="13.5" customHeight="1">
      <c r="A141" s="736" t="str">
        <f>A72</f>
        <v>Markets</v>
      </c>
      <c r="B141" s="750"/>
      <c r="C141" s="400"/>
      <c r="D141" s="109"/>
      <c r="E141" s="109"/>
      <c r="F141" s="109"/>
      <c r="G141" s="109"/>
      <c r="H141" s="109"/>
      <c r="I141" s="109"/>
      <c r="J141" s="173">
        <f>SUM(E141:I141)</f>
        <v>0</v>
      </c>
      <c r="K141" s="173">
        <f>IF(D141=0,C141+J141,D141+J141)</f>
        <v>0</v>
      </c>
      <c r="L141" s="109"/>
      <c r="M141" s="110"/>
      <c r="N141" s="127"/>
    </row>
    <row r="142" spans="1:14" ht="13.5" customHeight="1">
      <c r="A142" s="278" t="str">
        <f>"Total "&amp;A75</f>
        <v>Total Expenditure - Standard</v>
      </c>
      <c r="B142" s="750">
        <v>3</v>
      </c>
      <c r="C142" s="703">
        <f>C76+C86+C108+C123+C136</f>
        <v>781353718</v>
      </c>
      <c r="D142" s="704">
        <f t="shared" ref="D142:M142" si="45">D76+D86+D108+D123+D136</f>
        <v>0</v>
      </c>
      <c r="E142" s="704">
        <f t="shared" si="45"/>
        <v>0</v>
      </c>
      <c r="F142" s="704">
        <f t="shared" si="45"/>
        <v>0</v>
      </c>
      <c r="G142" s="704">
        <f t="shared" si="45"/>
        <v>0</v>
      </c>
      <c r="H142" s="704">
        <f t="shared" si="45"/>
        <v>0</v>
      </c>
      <c r="I142" s="704">
        <f t="shared" si="45"/>
        <v>18171001</v>
      </c>
      <c r="J142" s="704">
        <f t="shared" si="45"/>
        <v>18171001</v>
      </c>
      <c r="K142" s="704">
        <f t="shared" si="45"/>
        <v>799524719</v>
      </c>
      <c r="L142" s="704">
        <f t="shared" si="45"/>
        <v>839414423</v>
      </c>
      <c r="M142" s="705">
        <f t="shared" si="45"/>
        <v>881658580</v>
      </c>
      <c r="N142" s="127"/>
    </row>
    <row r="143" spans="1:14" ht="13.5" customHeight="1">
      <c r="A143" s="741" t="str">
        <f>result</f>
        <v>Surplus/ (Deficit) for the year</v>
      </c>
      <c r="B143" s="753"/>
      <c r="C143" s="89">
        <f t="shared" ref="C143:I143" si="46">C73-C142</f>
        <v>69706644</v>
      </c>
      <c r="D143" s="90">
        <f t="shared" si="46"/>
        <v>0</v>
      </c>
      <c r="E143" s="90">
        <f t="shared" si="46"/>
        <v>0</v>
      </c>
      <c r="F143" s="90">
        <f t="shared" si="46"/>
        <v>0</v>
      </c>
      <c r="G143" s="90">
        <f t="shared" si="46"/>
        <v>0</v>
      </c>
      <c r="H143" s="90">
        <f t="shared" si="46"/>
        <v>20350000</v>
      </c>
      <c r="I143" s="90">
        <f t="shared" si="46"/>
        <v>20576613</v>
      </c>
      <c r="J143" s="755">
        <f>J73-J142</f>
        <v>40926613</v>
      </c>
      <c r="K143" s="755">
        <f>K73-K142</f>
        <v>110633257</v>
      </c>
      <c r="L143" s="90">
        <f>L73-L142</f>
        <v>80774108</v>
      </c>
      <c r="M143" s="91">
        <f>M73-M142</f>
        <v>127518215</v>
      </c>
      <c r="N143" s="127"/>
    </row>
    <row r="144" spans="1:14" ht="13.5">
      <c r="A144" s="665" t="str">
        <f>head27a</f>
        <v>References</v>
      </c>
      <c r="B144" s="742"/>
      <c r="C144" s="743"/>
      <c r="D144" s="743"/>
      <c r="E144" s="743"/>
      <c r="F144" s="743"/>
      <c r="G144" s="743"/>
      <c r="H144" s="743"/>
      <c r="I144" s="743"/>
      <c r="J144" s="922"/>
      <c r="K144" s="922"/>
      <c r="L144" s="5"/>
    </row>
    <row r="145" spans="1:12" ht="13.5">
      <c r="A145" s="119" t="s">
        <v>1151</v>
      </c>
      <c r="B145" s="742"/>
      <c r="C145" s="744"/>
      <c r="D145" s="744"/>
      <c r="E145" s="745"/>
      <c r="F145" s="745"/>
      <c r="G145" s="745"/>
      <c r="H145" s="745"/>
      <c r="I145" s="745"/>
      <c r="J145" s="923"/>
      <c r="K145" s="923"/>
      <c r="L145" s="5"/>
    </row>
    <row r="146" spans="1:12" ht="13.5">
      <c r="A146" s="663" t="s">
        <v>1152</v>
      </c>
      <c r="B146" s="742"/>
      <c r="C146" s="744"/>
      <c r="D146" s="744"/>
      <c r="E146" s="745"/>
      <c r="F146" s="745"/>
      <c r="G146" s="745"/>
      <c r="H146" s="745"/>
      <c r="I146" s="745"/>
      <c r="J146" s="923"/>
      <c r="K146" s="923"/>
      <c r="L146" s="5"/>
    </row>
    <row r="147" spans="1:12" ht="13.5">
      <c r="A147" s="119" t="s">
        <v>1153</v>
      </c>
      <c r="B147" s="742"/>
      <c r="C147" s="744"/>
      <c r="D147" s="744"/>
      <c r="E147" s="745"/>
      <c r="F147" s="745"/>
      <c r="G147" s="745"/>
      <c r="H147" s="745"/>
      <c r="I147" s="745"/>
      <c r="J147" s="923"/>
      <c r="K147" s="923"/>
      <c r="L147" s="5"/>
    </row>
    <row r="148" spans="1:12" ht="13.5">
      <c r="A148" s="1325" t="s">
        <v>1154</v>
      </c>
      <c r="B148" s="1325"/>
      <c r="C148" s="1325"/>
      <c r="D148" s="1325"/>
      <c r="E148" s="1325"/>
      <c r="F148" s="1325"/>
      <c r="G148" s="1325"/>
      <c r="H148" s="1325"/>
      <c r="I148" s="1325"/>
      <c r="J148" s="1325"/>
      <c r="K148" s="1325"/>
      <c r="L148" s="5"/>
    </row>
    <row r="149" spans="1:12" ht="13.5">
      <c r="A149" s="48"/>
      <c r="B149" s="120"/>
      <c r="C149" s="520"/>
      <c r="D149" s="520"/>
      <c r="E149" s="53"/>
      <c r="F149" s="53"/>
      <c r="G149" s="53"/>
      <c r="H149" s="53"/>
      <c r="I149" s="53"/>
      <c r="J149" s="566"/>
      <c r="K149" s="566"/>
      <c r="L149" s="5"/>
    </row>
    <row r="150" spans="1:12">
      <c r="A150" s="864"/>
      <c r="B150" s="864"/>
      <c r="C150" s="864"/>
    </row>
    <row r="151" spans="1:12">
      <c r="A151" s="864"/>
      <c r="B151" s="864"/>
      <c r="C151" s="864"/>
    </row>
    <row r="152" spans="1:12">
      <c r="A152" s="864"/>
      <c r="B152" s="864"/>
      <c r="C152" s="864"/>
    </row>
    <row r="153" spans="1:12">
      <c r="A153" s="864"/>
      <c r="B153" s="864"/>
      <c r="C153" s="864"/>
    </row>
    <row r="154" spans="1:12">
      <c r="A154" s="864"/>
      <c r="B154" s="864"/>
      <c r="C154" s="864"/>
    </row>
    <row r="155" spans="1:12">
      <c r="A155" s="864"/>
      <c r="B155" s="864"/>
      <c r="C155" s="864"/>
    </row>
    <row r="156" spans="1:12">
      <c r="A156" s="864"/>
      <c r="B156" s="864"/>
      <c r="C156" s="864"/>
    </row>
    <row r="157" spans="1:12">
      <c r="A157" s="864"/>
      <c r="B157" s="864"/>
      <c r="C157" s="864"/>
    </row>
    <row r="158" spans="1:12">
      <c r="A158" s="864"/>
      <c r="B158" s="864"/>
      <c r="C158" s="864"/>
    </row>
    <row r="159" spans="1:12">
      <c r="A159" s="864"/>
      <c r="B159" s="864"/>
      <c r="C159" s="864"/>
    </row>
    <row r="160" spans="1:12">
      <c r="A160" s="864"/>
      <c r="B160" s="864"/>
      <c r="C160" s="864"/>
    </row>
    <row r="161" spans="1:3">
      <c r="A161" s="864"/>
      <c r="B161" s="864"/>
      <c r="C161" s="864"/>
    </row>
    <row r="162" spans="1:3">
      <c r="A162" s="864"/>
      <c r="B162" s="864"/>
      <c r="C162" s="864"/>
    </row>
    <row r="163" spans="1:3">
      <c r="A163" s="864"/>
      <c r="B163" s="864"/>
      <c r="C163" s="864"/>
    </row>
    <row r="164" spans="1:3">
      <c r="A164" s="864"/>
      <c r="B164" s="864"/>
      <c r="C164" s="864"/>
    </row>
    <row r="165" spans="1:3">
      <c r="A165" s="864"/>
      <c r="B165" s="864"/>
      <c r="C165" s="864"/>
    </row>
    <row r="166" spans="1:3">
      <c r="A166" s="864"/>
      <c r="B166" s="864"/>
      <c r="C166" s="864"/>
    </row>
    <row r="167" spans="1:3">
      <c r="A167" s="864"/>
      <c r="B167" s="864"/>
      <c r="C167" s="864"/>
    </row>
  </sheetData>
  <mergeCells count="2">
    <mergeCell ref="A148:K148"/>
    <mergeCell ref="C2:K2"/>
  </mergeCells>
  <phoneticPr fontId="17"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6F196B8D-AFA2-4AED-A4E8-D3A370F1F352}">
  <ds:schemaRefs>
    <ds:schemaRef ds:uri="http://schemas.microsoft.com/office/2006/metadata/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164</vt:i4>
      </vt:variant>
    </vt:vector>
  </HeadingPairs>
  <TitlesOfParts>
    <vt:vector size="206" baseType="lpstr">
      <vt:lpstr>START</vt:lpstr>
      <vt:lpstr>Instructions</vt:lpstr>
      <vt:lpstr>Template names</vt:lpstr>
      <vt:lpstr>Lookup and lists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Company>National Treasury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 Mathebula</dc:creator>
  <cp:lastModifiedBy>arnold</cp:lastModifiedBy>
  <cp:lastPrinted>2014-02-24T06:51:47Z</cp:lastPrinted>
  <dcterms:created xsi:type="dcterms:W3CDTF">2009-03-24T13:39:17Z</dcterms:created>
  <dcterms:modified xsi:type="dcterms:W3CDTF">2014-02-24T07:25:22Z</dcterms:modified>
</cp:coreProperties>
</file>